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https://jesholdings.sharepoint.com/sites/AcqDev/2026 GA Applications/Clayton County/05 Applications &amp; Scoring/2026-0xxWstchstrVlgIICompetitiveAppFldr/"/>
    </mc:Choice>
  </mc:AlternateContent>
  <xr:revisionPtr revIDLastSave="1" documentId="13_ncr:1_{2A63DB1D-DDA4-43EA-94DB-0A5005B90718}" xr6:coauthVersionLast="47" xr6:coauthVersionMax="47" xr10:uidLastSave="{E5F9C847-D156-4A07-B318-12EEBEAA8600}"/>
  <workbookProtection workbookAlgorithmName="SHA-512" workbookHashValue="DeBGV+Or/6fpdZTsUHjTOBv4E2pB7r6Ex2oeN5Vw9t1LqSQIElqt6hf9uEsGAC58VkbRECjb501SSVjPuwUCeg==" workbookSaltValue="2rqXNQJ6194LC48dFu/mEQ==" workbookSpinCount="100000" lockStructure="1"/>
  <bookViews>
    <workbookView xWindow="-120" yWindow="-120" windowWidth="29040" windowHeight="15720" tabRatio="935" firstSheet="3" activeTab="12"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3" i="111" l="1"/>
  <c r="E63" i="111" s="1"/>
  <c r="F63" i="111" s="1"/>
  <c r="G63" i="111" s="1"/>
  <c r="H63" i="111" s="1"/>
  <c r="I63" i="111" s="1"/>
  <c r="J63" i="111" s="1"/>
  <c r="K63" i="111" s="1"/>
  <c r="C63" i="111"/>
  <c r="B63" i="111"/>
  <c r="D31" i="111"/>
  <c r="E31" i="111" s="1"/>
  <c r="F31" i="111" s="1"/>
  <c r="G31" i="111" s="1"/>
  <c r="H31" i="111" s="1"/>
  <c r="I31" i="111" s="1"/>
  <c r="J31" i="111" s="1"/>
  <c r="K31" i="111" s="1"/>
  <c r="C31" i="111"/>
  <c r="X217" i="112" l="1"/>
  <c r="V218" i="112"/>
  <c r="V217" i="112"/>
  <c r="X218" i="112"/>
  <c r="X219" i="112" s="1"/>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B341" i="112"/>
  <c r="AA183"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V219" i="112" l="1"/>
  <c r="X105" i="112"/>
  <c r="X104" i="112"/>
  <c r="T53" i="112"/>
  <c r="T57" i="112" s="1"/>
  <c r="AA101" i="112"/>
  <c r="AA98" i="112" s="1"/>
  <c r="X191" i="112"/>
  <c r="P1121" i="123"/>
  <c r="O50" i="123"/>
  <c r="O266" i="110"/>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J969" i="123" s="1"/>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F872" i="123"/>
  <c r="E872" i="123"/>
  <c r="D872" i="123"/>
  <c r="C872" i="123"/>
  <c r="B872" i="123"/>
  <c r="K844" i="123"/>
  <c r="J844" i="123"/>
  <c r="I844" i="123"/>
  <c r="H844" i="123"/>
  <c r="G844" i="123"/>
  <c r="F844" i="123"/>
  <c r="E844" i="123"/>
  <c r="D844" i="123"/>
  <c r="C844" i="123"/>
  <c r="B844" i="123"/>
  <c r="K843" i="123"/>
  <c r="J843" i="123"/>
  <c r="I843" i="123"/>
  <c r="H843" i="123"/>
  <c r="G843" i="123"/>
  <c r="F843" i="123"/>
  <c r="E843" i="123"/>
  <c r="D843" i="123"/>
  <c r="C843" i="123"/>
  <c r="B843" i="123"/>
  <c r="K842" i="123"/>
  <c r="J842" i="123"/>
  <c r="I842" i="123"/>
  <c r="H842" i="123"/>
  <c r="G842" i="123"/>
  <c r="F842" i="123"/>
  <c r="E842" i="123"/>
  <c r="D842" i="123"/>
  <c r="C842" i="123"/>
  <c r="B842" i="123"/>
  <c r="K813" i="123"/>
  <c r="J813" i="123"/>
  <c r="I813" i="123"/>
  <c r="H813" i="123"/>
  <c r="G813" i="123"/>
  <c r="F813" i="123"/>
  <c r="E813" i="123"/>
  <c r="D813" i="123"/>
  <c r="C813" i="123"/>
  <c r="B813" i="123"/>
  <c r="K812" i="123"/>
  <c r="J812" i="123"/>
  <c r="I812" i="123"/>
  <c r="H812" i="123"/>
  <c r="G812" i="123"/>
  <c r="F812" i="123"/>
  <c r="E812" i="123"/>
  <c r="D812" i="123"/>
  <c r="C812" i="123"/>
  <c r="B812" i="123"/>
  <c r="K811" i="123"/>
  <c r="J811" i="123"/>
  <c r="I811" i="123"/>
  <c r="H811" i="123"/>
  <c r="G811" i="123"/>
  <c r="F811" i="123"/>
  <c r="E811" i="123"/>
  <c r="D811" i="123"/>
  <c r="C811" i="123"/>
  <c r="B811" i="123"/>
  <c r="F862" i="123"/>
  <c r="E862" i="123"/>
  <c r="D862" i="123"/>
  <c r="C862" i="123"/>
  <c r="B862" i="123"/>
  <c r="F861" i="123"/>
  <c r="E861" i="123"/>
  <c r="D861" i="123"/>
  <c r="C861" i="123"/>
  <c r="C868" i="123" s="1"/>
  <c r="B861" i="123"/>
  <c r="F860" i="123"/>
  <c r="E860" i="123"/>
  <c r="D860" i="123"/>
  <c r="C860" i="123"/>
  <c r="B860" i="123"/>
  <c r="F859" i="123"/>
  <c r="F866" i="123" s="1"/>
  <c r="E859" i="123"/>
  <c r="E866" i="123" s="1"/>
  <c r="D859" i="123"/>
  <c r="D866" i="123" s="1"/>
  <c r="C859" i="123"/>
  <c r="B859"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29" i="123"/>
  <c r="K836" i="123" s="1"/>
  <c r="J829" i="123"/>
  <c r="J836" i="123" s="1"/>
  <c r="I829" i="123"/>
  <c r="H829" i="123"/>
  <c r="G829" i="123"/>
  <c r="G836" i="123" s="1"/>
  <c r="F829" i="123"/>
  <c r="E829" i="123"/>
  <c r="D829" i="123"/>
  <c r="C829" i="123"/>
  <c r="B829"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K797" i="123"/>
  <c r="J797" i="123"/>
  <c r="J805" i="123" s="1"/>
  <c r="I797" i="123"/>
  <c r="I805" i="123" s="1"/>
  <c r="H797" i="123"/>
  <c r="H805" i="123" s="1"/>
  <c r="G797" i="123"/>
  <c r="G805" i="123" s="1"/>
  <c r="F797" i="123"/>
  <c r="F805" i="123" s="1"/>
  <c r="E797" i="123"/>
  <c r="D797" i="123"/>
  <c r="C797" i="123"/>
  <c r="B797" i="123"/>
  <c r="B779" i="123"/>
  <c r="C779" i="123"/>
  <c r="D779" i="123"/>
  <c r="E779" i="123"/>
  <c r="F779" i="123"/>
  <c r="G779" i="123"/>
  <c r="H779" i="123"/>
  <c r="I779" i="123"/>
  <c r="J779" i="123"/>
  <c r="K779" i="123"/>
  <c r="B780" i="123"/>
  <c r="C780" i="123"/>
  <c r="D780" i="123"/>
  <c r="E780" i="123"/>
  <c r="F780" i="123"/>
  <c r="G780" i="123"/>
  <c r="H780" i="123"/>
  <c r="I780" i="123"/>
  <c r="J780" i="123"/>
  <c r="K780" i="123"/>
  <c r="B781" i="123"/>
  <c r="C781" i="123"/>
  <c r="D781" i="123"/>
  <c r="E781" i="123"/>
  <c r="F781" i="123"/>
  <c r="G781" i="123"/>
  <c r="H781" i="123"/>
  <c r="I781" i="123"/>
  <c r="J781" i="123"/>
  <c r="K781" i="123"/>
  <c r="B765" i="123"/>
  <c r="C765" i="123"/>
  <c r="D765" i="123"/>
  <c r="E765" i="123"/>
  <c r="E773" i="123" s="1"/>
  <c r="F765" i="123"/>
  <c r="G765" i="123"/>
  <c r="H765" i="123"/>
  <c r="I765" i="123"/>
  <c r="J765" i="123"/>
  <c r="K765"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L704" i="123"/>
  <c r="L703" i="123"/>
  <c r="L702" i="123"/>
  <c r="L721" i="123"/>
  <c r="L720" i="123"/>
  <c r="L719" i="123"/>
  <c r="O719" i="123" s="1"/>
  <c r="F719" i="123"/>
  <c r="F718" i="123"/>
  <c r="F717" i="123"/>
  <c r="F716" i="123"/>
  <c r="H716" i="123" s="1"/>
  <c r="F715" i="123"/>
  <c r="F714" i="123"/>
  <c r="F710" i="123"/>
  <c r="F709" i="123"/>
  <c r="H709" i="123" s="1"/>
  <c r="F708" i="123"/>
  <c r="F707" i="123"/>
  <c r="F706" i="123"/>
  <c r="F705" i="123"/>
  <c r="H705" i="123" s="1"/>
  <c r="L715" i="123"/>
  <c r="L714" i="123"/>
  <c r="N714" i="123" s="1"/>
  <c r="L713" i="123"/>
  <c r="N713" i="123" s="1"/>
  <c r="L712" i="123"/>
  <c r="N712" i="123" s="1"/>
  <c r="L711" i="123"/>
  <c r="L710" i="123"/>
  <c r="F697" i="123"/>
  <c r="F698" i="123"/>
  <c r="F699" i="123"/>
  <c r="F700" i="123"/>
  <c r="F701" i="123"/>
  <c r="H701" i="123" s="1"/>
  <c r="F696" i="123"/>
  <c r="H696" i="123" s="1"/>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N465" i="123"/>
  <c r="O465" i="123"/>
  <c r="P465" i="123"/>
  <c r="Q465" i="123"/>
  <c r="N466" i="123"/>
  <c r="O466" i="123"/>
  <c r="P466" i="123"/>
  <c r="Q466" i="123"/>
  <c r="N467" i="123"/>
  <c r="O467" i="123"/>
  <c r="P467" i="123"/>
  <c r="Q467" i="123"/>
  <c r="N468" i="123"/>
  <c r="O468" i="123"/>
  <c r="P468" i="123"/>
  <c r="Q468" i="123"/>
  <c r="N469" i="123"/>
  <c r="O469" i="123"/>
  <c r="P469" i="123"/>
  <c r="Q469" i="123"/>
  <c r="N470" i="123"/>
  <c r="O470" i="123"/>
  <c r="P470" i="123"/>
  <c r="Q470" i="123"/>
  <c r="N471" i="123"/>
  <c r="O471" i="123"/>
  <c r="P471" i="123"/>
  <c r="Q471" i="123"/>
  <c r="N472" i="123"/>
  <c r="O472" i="123"/>
  <c r="P472" i="123"/>
  <c r="Q472" i="123"/>
  <c r="N473" i="123"/>
  <c r="O473" i="123"/>
  <c r="P473" i="123"/>
  <c r="Q473" i="123"/>
  <c r="N474" i="123"/>
  <c r="O474" i="123"/>
  <c r="P474" i="123"/>
  <c r="Q474" i="123"/>
  <c r="N475" i="123"/>
  <c r="O475" i="123"/>
  <c r="P475" i="123"/>
  <c r="Q475" i="123"/>
  <c r="LH475" i="123" s="1"/>
  <c r="N476" i="123"/>
  <c r="HN476" i="123" s="1"/>
  <c r="O476" i="123"/>
  <c r="P476" i="123"/>
  <c r="Q476" i="123"/>
  <c r="N477" i="123"/>
  <c r="O477" i="123"/>
  <c r="P477" i="123"/>
  <c r="Q477" i="123"/>
  <c r="N478" i="123"/>
  <c r="O478" i="123"/>
  <c r="P478" i="123"/>
  <c r="Q478" i="123"/>
  <c r="N479" i="123"/>
  <c r="O479" i="123"/>
  <c r="P479" i="123"/>
  <c r="Q479" i="123"/>
  <c r="N480" i="123"/>
  <c r="MS480" i="123" s="1"/>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K466" i="123"/>
  <c r="B467" i="123"/>
  <c r="C467" i="123"/>
  <c r="D467" i="123"/>
  <c r="E467" i="123"/>
  <c r="F467" i="123"/>
  <c r="G467" i="123"/>
  <c r="H467" i="123"/>
  <c r="I467" i="123"/>
  <c r="J467" i="123"/>
  <c r="K467" i="123"/>
  <c r="B468" i="123"/>
  <c r="C468" i="123"/>
  <c r="D468" i="123"/>
  <c r="E468" i="123"/>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B472" i="123"/>
  <c r="C472" i="123"/>
  <c r="D472" i="123"/>
  <c r="E472" i="123"/>
  <c r="F472" i="123"/>
  <c r="G472" i="123"/>
  <c r="H472" i="123"/>
  <c r="I472" i="123"/>
  <c r="K472" i="123"/>
  <c r="B473" i="123"/>
  <c r="C473" i="123"/>
  <c r="D473" i="123"/>
  <c r="E473" i="123"/>
  <c r="F473" i="123"/>
  <c r="G473" i="123"/>
  <c r="H473" i="123"/>
  <c r="I473" i="123"/>
  <c r="K473" i="123"/>
  <c r="B474" i="123"/>
  <c r="NF474" i="123" s="1"/>
  <c r="C474" i="123"/>
  <c r="D474" i="123"/>
  <c r="E474" i="123"/>
  <c r="F474" i="123"/>
  <c r="G474" i="123"/>
  <c r="H474" i="123"/>
  <c r="I474" i="123"/>
  <c r="K474" i="123"/>
  <c r="B475" i="123"/>
  <c r="C475" i="123"/>
  <c r="D475" i="123"/>
  <c r="E475" i="123"/>
  <c r="F475" i="123"/>
  <c r="G475" i="123"/>
  <c r="H475" i="123"/>
  <c r="I475" i="123"/>
  <c r="K475" i="123"/>
  <c r="B476" i="123"/>
  <c r="C476" i="123"/>
  <c r="D476" i="123"/>
  <c r="E476" i="123"/>
  <c r="F476" i="123"/>
  <c r="G476" i="123"/>
  <c r="H476" i="123"/>
  <c r="I476" i="123"/>
  <c r="K476" i="123"/>
  <c r="B477" i="123"/>
  <c r="C477" i="123"/>
  <c r="D477" i="123"/>
  <c r="E477" i="123"/>
  <c r="F477" i="123"/>
  <c r="G477" i="123"/>
  <c r="H477" i="123"/>
  <c r="I477" i="123"/>
  <c r="K477" i="123"/>
  <c r="B478" i="123"/>
  <c r="C478" i="123"/>
  <c r="D478" i="123"/>
  <c r="E478" i="123"/>
  <c r="F478" i="123"/>
  <c r="G478" i="123"/>
  <c r="H478" i="123"/>
  <c r="I478" i="123"/>
  <c r="K478" i="123"/>
  <c r="B479" i="123"/>
  <c r="C479" i="123"/>
  <c r="D479" i="123"/>
  <c r="E479" i="123"/>
  <c r="F479" i="123"/>
  <c r="G479" i="123"/>
  <c r="H479" i="123"/>
  <c r="I479" i="123"/>
  <c r="K479" i="123"/>
  <c r="B480" i="123"/>
  <c r="C480" i="123"/>
  <c r="D480" i="123"/>
  <c r="E480" i="123"/>
  <c r="F480" i="123"/>
  <c r="G480" i="123"/>
  <c r="H480" i="123"/>
  <c r="I480" i="123"/>
  <c r="K480" i="123"/>
  <c r="B481" i="123"/>
  <c r="IO481" i="123" s="1"/>
  <c r="C481" i="123"/>
  <c r="D481" i="123"/>
  <c r="E481" i="123"/>
  <c r="F481" i="123"/>
  <c r="G481" i="123"/>
  <c r="H481" i="123"/>
  <c r="I481" i="123"/>
  <c r="K481" i="123"/>
  <c r="B482" i="123"/>
  <c r="GU482" i="123" s="1"/>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NW482" i="123"/>
  <c r="NN482" i="123"/>
  <c r="NM482" i="123"/>
  <c r="MZ482" i="123"/>
  <c r="MY482" i="123"/>
  <c r="MX482" i="123"/>
  <c r="MW482" i="123"/>
  <c r="JT482" i="123"/>
  <c r="JF482" i="123"/>
  <c r="IY482" i="123"/>
  <c r="IX482" i="123"/>
  <c r="IW482" i="123"/>
  <c r="IV482" i="123"/>
  <c r="IN482" i="123"/>
  <c r="IM482" i="123"/>
  <c r="IL482" i="123"/>
  <c r="IK482" i="123"/>
  <c r="HW482" i="123"/>
  <c r="HU482" i="123"/>
  <c r="HT482" i="123"/>
  <c r="HS482" i="123"/>
  <c r="HQ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OC481" i="123"/>
  <c r="OB481" i="123"/>
  <c r="OA481" i="123"/>
  <c r="NZ481" i="123"/>
  <c r="NY481" i="123"/>
  <c r="NV481" i="123"/>
  <c r="NU481" i="123"/>
  <c r="NT481" i="123"/>
  <c r="NS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NX480" i="123"/>
  <c r="NT480" i="123"/>
  <c r="LK480" i="123"/>
  <c r="LI480" i="123"/>
  <c r="KS480" i="123"/>
  <c r="KP480" i="123"/>
  <c r="KN480" i="123"/>
  <c r="KJ480" i="123"/>
  <c r="KE480" i="123"/>
  <c r="HN480" i="123"/>
  <c r="NY479" i="123"/>
  <c r="NX479" i="123"/>
  <c r="NW479" i="123"/>
  <c r="NV479" i="123"/>
  <c r="NU479" i="123"/>
  <c r="NT479" i="123"/>
  <c r="NS479" i="123"/>
  <c r="NR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HO479" i="123"/>
  <c r="HN479" i="123"/>
  <c r="HL479" i="123"/>
  <c r="HJ479" i="123"/>
  <c r="HH479" i="123"/>
  <c r="HG479" i="123"/>
  <c r="HF479" i="123"/>
  <c r="FQ479" i="123"/>
  <c r="FP479" i="123"/>
  <c r="FN479" i="123"/>
  <c r="BB479" i="123"/>
  <c r="NX478" i="123"/>
  <c r="NW478" i="123"/>
  <c r="NV478" i="123"/>
  <c r="NU478" i="123"/>
  <c r="NT478" i="123"/>
  <c r="NN478" i="123"/>
  <c r="NM478" i="123"/>
  <c r="NL478" i="123"/>
  <c r="NK478" i="123"/>
  <c r="NJ478" i="123"/>
  <c r="NI478" i="123"/>
  <c r="NH478" i="123"/>
  <c r="NG478" i="123"/>
  <c r="NF478" i="123"/>
  <c r="NE478" i="123"/>
  <c r="ND478" i="123"/>
  <c r="NA478" i="123"/>
  <c r="MZ478" i="123"/>
  <c r="MY478" i="123"/>
  <c r="MX478" i="123"/>
  <c r="MW478" i="123"/>
  <c r="MV478" i="123"/>
  <c r="MU478" i="123"/>
  <c r="MT478" i="123"/>
  <c r="MS478" i="123"/>
  <c r="MR478" i="123"/>
  <c r="MQ478" i="123"/>
  <c r="MP478" i="123"/>
  <c r="LN478" i="123"/>
  <c r="JM478" i="123"/>
  <c r="JL478" i="123"/>
  <c r="JK478" i="123"/>
  <c r="JJ478" i="123"/>
  <c r="JI478" i="123"/>
  <c r="JH478" i="123"/>
  <c r="JG478" i="123"/>
  <c r="JF478" i="123"/>
  <c r="JE478" i="123"/>
  <c r="JD478" i="123"/>
  <c r="JC478" i="123"/>
  <c r="JA478" i="123"/>
  <c r="IZ478" i="123"/>
  <c r="IY478" i="123"/>
  <c r="IX478" i="123"/>
  <c r="IW478" i="123"/>
  <c r="IV478" i="123"/>
  <c r="IT478" i="123"/>
  <c r="IS478" i="123"/>
  <c r="IR478" i="123"/>
  <c r="IQ478" i="123"/>
  <c r="IP478" i="123"/>
  <c r="IO478" i="123"/>
  <c r="IN478" i="123"/>
  <c r="IL478" i="123"/>
  <c r="IK478" i="123"/>
  <c r="IJ478" i="123"/>
  <c r="II478" i="123"/>
  <c r="IH478" i="123"/>
  <c r="IF478" i="123"/>
  <c r="IE478" i="123"/>
  <c r="ID478" i="123"/>
  <c r="IC478" i="123"/>
  <c r="IB478" i="123"/>
  <c r="IA478" i="123"/>
  <c r="HZ478" i="123"/>
  <c r="HY478" i="123"/>
  <c r="HW478" i="123"/>
  <c r="HV478" i="123"/>
  <c r="HU478" i="123"/>
  <c r="HT478" i="123"/>
  <c r="HR478" i="123"/>
  <c r="HQ478" i="123"/>
  <c r="HP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E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K478" i="123"/>
  <c r="AJ478" i="123"/>
  <c r="AI478" i="123"/>
  <c r="AH478" i="123"/>
  <c r="AG478" i="123"/>
  <c r="AF478" i="123"/>
  <c r="AE478" i="123"/>
  <c r="AD478" i="123"/>
  <c r="AC478" i="123"/>
  <c r="AB478" i="123"/>
  <c r="AA478" i="123"/>
  <c r="Z478" i="123"/>
  <c r="Y478" i="123"/>
  <c r="X478" i="123"/>
  <c r="OC477" i="123"/>
  <c r="OB477" i="123"/>
  <c r="OA477" i="123"/>
  <c r="NZ477" i="123"/>
  <c r="NY477" i="123"/>
  <c r="NX477" i="123"/>
  <c r="NW477" i="123"/>
  <c r="NV477" i="123"/>
  <c r="NT477" i="123"/>
  <c r="NS477" i="123"/>
  <c r="NR477" i="123"/>
  <c r="NP477" i="123"/>
  <c r="NO477"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MO476" i="123"/>
  <c r="ML476" i="123"/>
  <c r="MB476" i="123"/>
  <c r="KK476" i="123"/>
  <c r="KC476" i="123"/>
  <c r="JI476" i="123"/>
  <c r="HO475" i="123"/>
  <c r="HN475" i="123"/>
  <c r="HM475" i="123"/>
  <c r="HL475" i="123"/>
  <c r="HK475" i="123"/>
  <c r="HJ475" i="123"/>
  <c r="HI475" i="123"/>
  <c r="HH475" i="123"/>
  <c r="HG475" i="123"/>
  <c r="HF475" i="123"/>
  <c r="FQ475" i="123"/>
  <c r="FP475" i="123"/>
  <c r="FO475" i="123"/>
  <c r="FM475" i="123"/>
  <c r="OC474" i="123"/>
  <c r="OB474" i="123"/>
  <c r="OA474" i="123"/>
  <c r="NZ474" i="123"/>
  <c r="NY474" i="123"/>
  <c r="NW474" i="123"/>
  <c r="NV474" i="123"/>
  <c r="NU474" i="123"/>
  <c r="NT474" i="123"/>
  <c r="NS474" i="123"/>
  <c r="NR474" i="123"/>
  <c r="NQ474" i="123"/>
  <c r="NP474" i="123"/>
  <c r="NO474" i="123"/>
  <c r="NG474" i="123"/>
  <c r="MY474" i="123"/>
  <c r="MP474" i="123"/>
  <c r="MO474" i="123"/>
  <c r="MN474" i="123"/>
  <c r="MM474" i="123"/>
  <c r="ML474" i="123"/>
  <c r="MK474" i="123"/>
  <c r="MJ474" i="123"/>
  <c r="MI474" i="123"/>
  <c r="MG474" i="123"/>
  <c r="MF474" i="123"/>
  <c r="ME474" i="123"/>
  <c r="MD474" i="123"/>
  <c r="MC474" i="123"/>
  <c r="MB474" i="123"/>
  <c r="MA474" i="123"/>
  <c r="LZ474" i="123"/>
  <c r="LY474" i="123"/>
  <c r="LX474" i="123"/>
  <c r="LW474" i="123"/>
  <c r="LV474" i="123"/>
  <c r="LU474" i="123"/>
  <c r="LS474" i="123"/>
  <c r="LR474" i="123"/>
  <c r="LQ474" i="123"/>
  <c r="LP474" i="123"/>
  <c r="LO474" i="123"/>
  <c r="LN474" i="123"/>
  <c r="LM474" i="123"/>
  <c r="LL474" i="123"/>
  <c r="LK474" i="123"/>
  <c r="LJ474" i="123"/>
  <c r="LI474" i="123"/>
  <c r="LH474" i="123"/>
  <c r="LG474" i="123"/>
  <c r="LE474" i="123"/>
  <c r="LD474" i="123"/>
  <c r="LC474" i="123"/>
  <c r="LB474" i="123"/>
  <c r="LA474" i="123"/>
  <c r="KZ474" i="123"/>
  <c r="KY474" i="123"/>
  <c r="KX474" i="123"/>
  <c r="KW474" i="123"/>
  <c r="KV474" i="123"/>
  <c r="KU474" i="123"/>
  <c r="KT474" i="123"/>
  <c r="KS474" i="123"/>
  <c r="KQ474" i="123"/>
  <c r="KP474" i="123"/>
  <c r="KO474" i="123"/>
  <c r="KN474" i="123"/>
  <c r="KM474" i="123"/>
  <c r="KL474" i="123"/>
  <c r="KK474" i="123"/>
  <c r="KJ474" i="123"/>
  <c r="KI474" i="123"/>
  <c r="KH474" i="123"/>
  <c r="KG474" i="123"/>
  <c r="KF474" i="123"/>
  <c r="KE474" i="123"/>
  <c r="KC474" i="123"/>
  <c r="KB474" i="123"/>
  <c r="KA474" i="123"/>
  <c r="JZ474" i="123"/>
  <c r="JY474" i="123"/>
  <c r="JX474" i="123"/>
  <c r="JW474" i="123"/>
  <c r="JV474" i="123"/>
  <c r="JU474" i="123"/>
  <c r="JT474" i="123"/>
  <c r="JS474" i="123"/>
  <c r="JR474" i="123"/>
  <c r="JQ474" i="123"/>
  <c r="JO474" i="123"/>
  <c r="JN474" i="123"/>
  <c r="JM474" i="123"/>
  <c r="JL474" i="123"/>
  <c r="JK474" i="123"/>
  <c r="JJ474" i="123"/>
  <c r="JI474" i="123"/>
  <c r="JH474" i="123"/>
  <c r="IY474" i="123"/>
  <c r="IQ474" i="123"/>
  <c r="IH474" i="123"/>
  <c r="HY474" i="123"/>
  <c r="HQ474" i="123"/>
  <c r="HO474" i="123"/>
  <c r="HN474" i="123"/>
  <c r="HM474" i="123"/>
  <c r="HK474" i="123"/>
  <c r="HJ474" i="123"/>
  <c r="HI474" i="123"/>
  <c r="HH474" i="123"/>
  <c r="HG474" i="123"/>
  <c r="HF474" i="123"/>
  <c r="GZ474" i="123"/>
  <c r="GQ474" i="123"/>
  <c r="GH474" i="123"/>
  <c r="FZ474" i="123"/>
  <c r="FQ474" i="123"/>
  <c r="FP474" i="123"/>
  <c r="FO474" i="123"/>
  <c r="FN474" i="123"/>
  <c r="FM474" i="123"/>
  <c r="FI474" i="123"/>
  <c r="EZ474" i="123"/>
  <c r="EQ474" i="123"/>
  <c r="EI474" i="123"/>
  <c r="DZ474" i="123"/>
  <c r="DQ474" i="123"/>
  <c r="DI474" i="123"/>
  <c r="CZ474" i="123"/>
  <c r="CR474" i="123"/>
  <c r="CI474" i="123"/>
  <c r="BZ474" i="123"/>
  <c r="BR474" i="123"/>
  <c r="BI474" i="123"/>
  <c r="BA474" i="123"/>
  <c r="AR474" i="123"/>
  <c r="AI474" i="123"/>
  <c r="AA474" i="123"/>
  <c r="OA473" i="123"/>
  <c r="NZ473" i="123"/>
  <c r="NY473"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L473" i="123"/>
  <c r="JJ473" i="123"/>
  <c r="JI473" i="123"/>
  <c r="NT472" i="123"/>
  <c r="NL472" i="123"/>
  <c r="NI472" i="123"/>
  <c r="NG472" i="123"/>
  <c r="NF472" i="123"/>
  <c r="ND472" i="123"/>
  <c r="MZ472" i="123"/>
  <c r="MV472" i="123"/>
  <c r="MS472" i="123"/>
  <c r="MO472" i="123"/>
  <c r="MN472" i="123"/>
  <c r="MM472" i="123"/>
  <c r="ML472" i="123"/>
  <c r="MJ472" i="123"/>
  <c r="MI472" i="123"/>
  <c r="MH472" i="123"/>
  <c r="MG472" i="123"/>
  <c r="MF472" i="123"/>
  <c r="ME472" i="123"/>
  <c r="MD472" i="123"/>
  <c r="MC472" i="123"/>
  <c r="MB472" i="123"/>
  <c r="MA472" i="123"/>
  <c r="LZ472" i="123"/>
  <c r="LY472" i="123"/>
  <c r="LX472" i="123"/>
  <c r="LV472" i="123"/>
  <c r="LU472" i="123"/>
  <c r="LT472" i="123"/>
  <c r="LS472" i="123"/>
  <c r="LR472" i="123"/>
  <c r="LQ472" i="123"/>
  <c r="LP472" i="123"/>
  <c r="LO472" i="123"/>
  <c r="LN472" i="123"/>
  <c r="LM472" i="123"/>
  <c r="LL472" i="123"/>
  <c r="LK472" i="123"/>
  <c r="LJ472" i="123"/>
  <c r="LH472" i="123"/>
  <c r="LG472" i="123"/>
  <c r="LF472" i="123"/>
  <c r="LE472" i="123"/>
  <c r="LD472" i="123"/>
  <c r="LC472" i="123"/>
  <c r="LB472" i="123"/>
  <c r="LA472" i="123"/>
  <c r="KZ472" i="123"/>
  <c r="KY472" i="123"/>
  <c r="KX472" i="123"/>
  <c r="KW472" i="123"/>
  <c r="KV472" i="123"/>
  <c r="KT472" i="123"/>
  <c r="KS472" i="123"/>
  <c r="KR472" i="123"/>
  <c r="KQ472" i="123"/>
  <c r="KP472" i="123"/>
  <c r="KO472" i="123"/>
  <c r="KN472" i="123"/>
  <c r="KM472" i="123"/>
  <c r="KL472" i="123"/>
  <c r="KK472" i="123"/>
  <c r="KJ472" i="123"/>
  <c r="KI472" i="123"/>
  <c r="KH472" i="123"/>
  <c r="KF472" i="123"/>
  <c r="KE472" i="123"/>
  <c r="KD472" i="123"/>
  <c r="KC472" i="123"/>
  <c r="KB472" i="123"/>
  <c r="KA472" i="123"/>
  <c r="JZ472" i="123"/>
  <c r="JY472" i="123"/>
  <c r="JX472" i="123"/>
  <c r="JW472" i="123"/>
  <c r="JV472" i="123"/>
  <c r="JU472" i="123"/>
  <c r="JT472" i="123"/>
  <c r="JR472" i="123"/>
  <c r="JQ472" i="123"/>
  <c r="JP472" i="123"/>
  <c r="JO472" i="123"/>
  <c r="JN472" i="123"/>
  <c r="JM472" i="123"/>
  <c r="JL472" i="123"/>
  <c r="JK472" i="123"/>
  <c r="JI472" i="123"/>
  <c r="JB472" i="123"/>
  <c r="JA472" i="123"/>
  <c r="IQ472" i="123"/>
  <c r="IP472" i="123"/>
  <c r="IM472" i="123"/>
  <c r="IL472" i="123"/>
  <c r="IK472" i="123"/>
  <c r="IJ472" i="123"/>
  <c r="ID472" i="123"/>
  <c r="HP472" i="123"/>
  <c r="HO472" i="123"/>
  <c r="HN472" i="123"/>
  <c r="HM472" i="123"/>
  <c r="HL472" i="123"/>
  <c r="HK472" i="123"/>
  <c r="HJ472" i="123"/>
  <c r="HI472" i="123"/>
  <c r="HH472" i="123"/>
  <c r="HG472" i="123"/>
  <c r="HF472" i="123"/>
  <c r="GW472" i="123"/>
  <c r="GV472" i="123"/>
  <c r="GT472" i="123"/>
  <c r="GR472" i="123"/>
  <c r="GL472" i="123"/>
  <c r="GH472" i="123"/>
  <c r="GG472" i="123"/>
  <c r="GD472" i="123"/>
  <c r="FY472" i="123"/>
  <c r="FR472" i="123"/>
  <c r="FQ472" i="123"/>
  <c r="FP472" i="123"/>
  <c r="FO472" i="123"/>
  <c r="FN472" i="123"/>
  <c r="FM472" i="123"/>
  <c r="FL472" i="123"/>
  <c r="FK472" i="123"/>
  <c r="FJ472" i="123"/>
  <c r="FG472" i="123"/>
  <c r="ET472" i="123"/>
  <c r="ER472" i="123"/>
  <c r="EP472" i="123"/>
  <c r="EN472" i="123"/>
  <c r="EJ472" i="123"/>
  <c r="EI472" i="123"/>
  <c r="EE472" i="123"/>
  <c r="EB472" i="123"/>
  <c r="DU472" i="123"/>
  <c r="DP472" i="123"/>
  <c r="DO472" i="123"/>
  <c r="DD472" i="123"/>
  <c r="DC472" i="123"/>
  <c r="DA472" i="123"/>
  <c r="CZ472" i="123"/>
  <c r="CX472" i="123"/>
  <c r="CT472" i="123"/>
  <c r="CR472" i="123"/>
  <c r="CD472" i="123"/>
  <c r="CB472" i="123"/>
  <c r="BZ472" i="123"/>
  <c r="BY472" i="123"/>
  <c r="BX472" i="123"/>
  <c r="BQ472" i="123"/>
  <c r="BM472" i="123"/>
  <c r="BL472" i="123"/>
  <c r="BH472" i="123"/>
  <c r="AZ472" i="123"/>
  <c r="AW472" i="123"/>
  <c r="AO472" i="123"/>
  <c r="AL472" i="123"/>
  <c r="AK472" i="123"/>
  <c r="AJ472" i="123"/>
  <c r="AH472" i="123"/>
  <c r="Z472" i="123"/>
  <c r="NX471" i="123"/>
  <c r="NW471" i="123"/>
  <c r="NV471" i="123"/>
  <c r="NU471" i="123"/>
  <c r="NT471" i="123"/>
  <c r="NN471" i="123"/>
  <c r="NM471" i="123"/>
  <c r="NL471" i="123"/>
  <c r="NK471" i="123"/>
  <c r="NJ471" i="123"/>
  <c r="NI471" i="123"/>
  <c r="NH471" i="123"/>
  <c r="NG471" i="123"/>
  <c r="NF471" i="123"/>
  <c r="NE471" i="123"/>
  <c r="ND471" i="123"/>
  <c r="NC471" i="123"/>
  <c r="NB471" i="123"/>
  <c r="NA471" i="123"/>
  <c r="MZ471" i="123"/>
  <c r="MY471" i="123"/>
  <c r="MX471" i="123"/>
  <c r="MW471" i="123"/>
  <c r="MV471" i="123"/>
  <c r="MU471" i="123"/>
  <c r="MT471" i="123"/>
  <c r="MS471" i="123"/>
  <c r="MR471" i="123"/>
  <c r="MQ471" i="123"/>
  <c r="MP471" i="123"/>
  <c r="LL471" i="123"/>
  <c r="KC471" i="123"/>
  <c r="JM471" i="123"/>
  <c r="JL471" i="123"/>
  <c r="JK471" i="123"/>
  <c r="JJ471" i="123"/>
  <c r="JI471" i="123"/>
  <c r="JH471" i="123"/>
  <c r="JG471" i="123"/>
  <c r="JF471" i="123"/>
  <c r="JE471" i="123"/>
  <c r="JD471" i="123"/>
  <c r="JC471" i="123"/>
  <c r="JB471" i="123"/>
  <c r="JA471" i="123"/>
  <c r="IZ471" i="123"/>
  <c r="IY471" i="123"/>
  <c r="IX471" i="123"/>
  <c r="IW471" i="123"/>
  <c r="IV471" i="123"/>
  <c r="IU471" i="123"/>
  <c r="IT471" i="123"/>
  <c r="IS471" i="123"/>
  <c r="IR471" i="123"/>
  <c r="IQ471" i="123"/>
  <c r="IP471" i="123"/>
  <c r="IO471" i="123"/>
  <c r="IN471" i="123"/>
  <c r="IM471" i="123"/>
  <c r="IL471" i="123"/>
  <c r="IK471" i="123"/>
  <c r="IJ471" i="123"/>
  <c r="II471" i="123"/>
  <c r="IH471" i="123"/>
  <c r="IG471" i="123"/>
  <c r="IF471" i="123"/>
  <c r="IE471" i="123"/>
  <c r="ID471" i="123"/>
  <c r="IC471" i="123"/>
  <c r="IB471" i="123"/>
  <c r="IA471" i="123"/>
  <c r="HZ471" i="123"/>
  <c r="HY471" i="123"/>
  <c r="HX471" i="123"/>
  <c r="HW471" i="123"/>
  <c r="HV471" i="123"/>
  <c r="HU471" i="123"/>
  <c r="HT471" i="123"/>
  <c r="HS471" i="123"/>
  <c r="HR471" i="123"/>
  <c r="HQ471" i="123"/>
  <c r="HP471" i="123"/>
  <c r="HO471" i="123"/>
  <c r="HN471" i="123"/>
  <c r="HM471" i="123"/>
  <c r="HL471" i="123"/>
  <c r="HK471" i="123"/>
  <c r="HE471" i="123"/>
  <c r="HD471" i="123"/>
  <c r="HC471" i="123"/>
  <c r="HB471" i="123"/>
  <c r="HA471" i="123"/>
  <c r="GZ471" i="123"/>
  <c r="GY471" i="123"/>
  <c r="GX471" i="123"/>
  <c r="GW471" i="123"/>
  <c r="GV471" i="123"/>
  <c r="GU471" i="123"/>
  <c r="GT471" i="123"/>
  <c r="GS471" i="123"/>
  <c r="GR471" i="123"/>
  <c r="GQ471" i="123"/>
  <c r="GP471" i="123"/>
  <c r="GO471" i="123"/>
  <c r="GN471" i="123"/>
  <c r="GM471" i="123"/>
  <c r="GL471" i="123"/>
  <c r="GK471" i="123"/>
  <c r="GJ471" i="123"/>
  <c r="GI471" i="123"/>
  <c r="GH471" i="123"/>
  <c r="GG471" i="123"/>
  <c r="GF471" i="123"/>
  <c r="GE471" i="123"/>
  <c r="GD471" i="123"/>
  <c r="GC471" i="123"/>
  <c r="GB471" i="123"/>
  <c r="GA471" i="123"/>
  <c r="FZ471" i="123"/>
  <c r="FY471" i="123"/>
  <c r="FX471" i="123"/>
  <c r="FW471" i="123"/>
  <c r="FV471" i="123"/>
  <c r="FU471" i="123"/>
  <c r="FT471" i="123"/>
  <c r="FS471" i="123"/>
  <c r="FR471" i="123"/>
  <c r="FQ471" i="123"/>
  <c r="FP471" i="123"/>
  <c r="FO471" i="123"/>
  <c r="FN471" i="123"/>
  <c r="FM471" i="123"/>
  <c r="FK471" i="123"/>
  <c r="FH471" i="123"/>
  <c r="EZ471" i="123"/>
  <c r="EV471" i="123"/>
  <c r="ER471" i="123"/>
  <c r="EP471" i="123"/>
  <c r="EF471" i="123"/>
  <c r="EE471" i="123"/>
  <c r="EB471" i="123"/>
  <c r="DX471" i="123"/>
  <c r="DW471" i="123"/>
  <c r="DV471" i="123"/>
  <c r="DS471" i="123"/>
  <c r="DE471" i="123"/>
  <c r="DD471" i="123"/>
  <c r="DB471" i="123"/>
  <c r="CZ471" i="123"/>
  <c r="CV471" i="123"/>
  <c r="CR471" i="123"/>
  <c r="CO471" i="123"/>
  <c r="CN471" i="123"/>
  <c r="CG471" i="123"/>
  <c r="CB471" i="123"/>
  <c r="BX471" i="123"/>
  <c r="BP471" i="123"/>
  <c r="BN471" i="123"/>
  <c r="BM471" i="123"/>
  <c r="BL471" i="123"/>
  <c r="BK471" i="123"/>
  <c r="BJ471" i="123"/>
  <c r="BI471" i="123"/>
  <c r="BH471" i="123"/>
  <c r="BG471" i="123"/>
  <c r="BF471" i="123"/>
  <c r="BE471" i="123"/>
  <c r="BD471" i="123"/>
  <c r="BC471" i="123"/>
  <c r="BB471" i="123"/>
  <c r="BA471" i="123"/>
  <c r="AZ471" i="123"/>
  <c r="AY471" i="123"/>
  <c r="AX471" i="123"/>
  <c r="AW471" i="123"/>
  <c r="AV471" i="123"/>
  <c r="AU471" i="123"/>
  <c r="AT471" i="123"/>
  <c r="AS471" i="123"/>
  <c r="AR471" i="123"/>
  <c r="AQ471" i="123"/>
  <c r="AP471" i="123"/>
  <c r="AO471" i="123"/>
  <c r="AN471" i="123"/>
  <c r="AM471" i="123"/>
  <c r="AL471" i="123"/>
  <c r="AK471" i="123"/>
  <c r="AJ471" i="123"/>
  <c r="AI471" i="123"/>
  <c r="AH471" i="123"/>
  <c r="AG471" i="123"/>
  <c r="AF471" i="123"/>
  <c r="AE471" i="123"/>
  <c r="AD471" i="123"/>
  <c r="AC471" i="123"/>
  <c r="AB471" i="123"/>
  <c r="AA471" i="123"/>
  <c r="Z471" i="123"/>
  <c r="Y471" i="123"/>
  <c r="X471"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J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M468" i="123" s="1"/>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OC466" i="123"/>
  <c r="NZ466" i="123"/>
  <c r="NV466" i="123"/>
  <c r="NU466" i="123"/>
  <c r="NS466" i="123"/>
  <c r="NR466" i="123"/>
  <c r="MW466" i="123"/>
  <c r="MV466" i="123"/>
  <c r="MJ466" i="123"/>
  <c r="MG466" i="123"/>
  <c r="ME466" i="123"/>
  <c r="MD466" i="123"/>
  <c r="MC466" i="123"/>
  <c r="MB466" i="123"/>
  <c r="LZ466" i="123"/>
  <c r="LY466" i="123"/>
  <c r="LV466" i="123"/>
  <c r="LP466" i="123"/>
  <c r="LO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JR466" i="123"/>
  <c r="JP466" i="123"/>
  <c r="JL466" i="123"/>
  <c r="JK466" i="123"/>
  <c r="JG466" i="123"/>
  <c r="IZ466" i="123"/>
  <c r="HB466" i="123"/>
  <c r="GK466" i="123"/>
  <c r="GI466" i="123"/>
  <c r="EP466" i="123"/>
  <c r="EB466" i="123"/>
  <c r="DW466" i="123"/>
  <c r="BY466" i="123"/>
  <c r="BI466" i="123"/>
  <c r="BF466" i="123"/>
  <c r="L466" i="123"/>
  <c r="M466" i="123" s="1"/>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4" i="110"/>
  <c r="J477" i="123" s="1"/>
  <c r="J25" i="110"/>
  <c r="J478" i="123" s="1"/>
  <c r="L478" i="123" s="1"/>
  <c r="M478" i="123" s="1"/>
  <c r="J26" i="110"/>
  <c r="J479" i="123" s="1"/>
  <c r="L479" i="123" s="1"/>
  <c r="M479" i="123" s="1"/>
  <c r="J27" i="110"/>
  <c r="J480" i="123" s="1"/>
  <c r="L480" i="123" s="1"/>
  <c r="J28" i="110"/>
  <c r="J481" i="123" s="1"/>
  <c r="J29" i="110"/>
  <c r="J482" i="123" s="1"/>
  <c r="L482" i="123" s="1"/>
  <c r="M482"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4"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3" i="123"/>
  <c r="S224" i="123"/>
  <c r="S225" i="123"/>
  <c r="S226" i="123"/>
  <c r="S227" i="123"/>
  <c r="G223" i="123"/>
  <c r="G224" i="123"/>
  <c r="G225" i="123"/>
  <c r="G226" i="123"/>
  <c r="G227" i="123"/>
  <c r="S246" i="123"/>
  <c r="S245" i="123"/>
  <c r="S244" i="123"/>
  <c r="S243" i="123"/>
  <c r="G246" i="123"/>
  <c r="G245" i="123"/>
  <c r="J245" i="123" s="1"/>
  <c r="G244" i="123"/>
  <c r="J244" i="123" s="1"/>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J169" i="123"/>
  <c r="G169" i="123"/>
  <c r="S160" i="123"/>
  <c r="P160" i="123"/>
  <c r="M160" i="123"/>
  <c r="J160" i="123"/>
  <c r="G160" i="123"/>
  <c r="M137" i="123"/>
  <c r="M136" i="123"/>
  <c r="S141" i="123"/>
  <c r="J141" i="123"/>
  <c r="G141" i="123"/>
  <c r="S137" i="123"/>
  <c r="S136" i="123"/>
  <c r="S135" i="123"/>
  <c r="S134" i="123"/>
  <c r="G137" i="123"/>
  <c r="G136" i="123"/>
  <c r="G135" i="123"/>
  <c r="G134" i="123"/>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J240" i="123"/>
  <c r="G240" i="123"/>
  <c r="S239" i="123"/>
  <c r="P239" i="123"/>
  <c r="M239" i="123"/>
  <c r="J239" i="123"/>
  <c r="G239" i="123"/>
  <c r="S238" i="123"/>
  <c r="P238" i="123"/>
  <c r="M238" i="123"/>
  <c r="J238" i="123"/>
  <c r="G238" i="123"/>
  <c r="S203" i="123"/>
  <c r="P203" i="123"/>
  <c r="M203" i="123"/>
  <c r="J203" i="123"/>
  <c r="G203" i="123"/>
  <c r="S202" i="123"/>
  <c r="P202" i="123"/>
  <c r="M202" i="123"/>
  <c r="J202" i="123"/>
  <c r="G202" i="123"/>
  <c r="S191" i="123"/>
  <c r="P191" i="123"/>
  <c r="M191" i="123"/>
  <c r="J191" i="123"/>
  <c r="G191" i="123"/>
  <c r="S190" i="123"/>
  <c r="P190" i="123"/>
  <c r="L1574" i="123" s="1"/>
  <c r="M190" i="123"/>
  <c r="J190" i="123"/>
  <c r="G190" i="123"/>
  <c r="S189" i="123"/>
  <c r="P189" i="123"/>
  <c r="M189" i="123"/>
  <c r="J189" i="123"/>
  <c r="G189" i="123"/>
  <c r="S177" i="123"/>
  <c r="P177" i="123"/>
  <c r="M177" i="123"/>
  <c r="J177" i="123"/>
  <c r="G177" i="123"/>
  <c r="S176" i="123"/>
  <c r="P176" i="123"/>
  <c r="M176" i="123"/>
  <c r="J176" i="123"/>
  <c r="G176" i="123"/>
  <c r="S175" i="123"/>
  <c r="P175" i="123"/>
  <c r="M175" i="123"/>
  <c r="J175" i="123"/>
  <c r="G175" i="123"/>
  <c r="S154" i="123"/>
  <c r="P154" i="123"/>
  <c r="M154" i="123"/>
  <c r="J154" i="123"/>
  <c r="G154" i="123"/>
  <c r="S153" i="123"/>
  <c r="P153" i="123"/>
  <c r="M153" i="123"/>
  <c r="J153" i="123"/>
  <c r="G153" i="123"/>
  <c r="S152" i="123"/>
  <c r="P152" i="123"/>
  <c r="M152" i="123"/>
  <c r="J152" i="123"/>
  <c r="G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P87" i="123"/>
  <c r="E88" i="123"/>
  <c r="I88" i="123"/>
  <c r="K88" i="123"/>
  <c r="L88" i="123"/>
  <c r="M88" i="123"/>
  <c r="N88" i="123"/>
  <c r="P88" i="123"/>
  <c r="E89" i="123"/>
  <c r="I89" i="123"/>
  <c r="K89" i="123"/>
  <c r="L89" i="123"/>
  <c r="M89" i="123"/>
  <c r="N89" i="123"/>
  <c r="P89" i="123"/>
  <c r="N86" i="123"/>
  <c r="M86" i="123"/>
  <c r="L86" i="123"/>
  <c r="K86" i="123"/>
  <c r="I86" i="123"/>
  <c r="E86" i="123"/>
  <c r="D77" i="123"/>
  <c r="D78" i="123"/>
  <c r="D76" i="123"/>
  <c r="G71" i="123"/>
  <c r="L71" i="123"/>
  <c r="G72" i="123"/>
  <c r="L72" i="123"/>
  <c r="G73" i="123"/>
  <c r="L73" i="123"/>
  <c r="G74" i="123"/>
  <c r="L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I969" i="123"/>
  <c r="F969" i="123"/>
  <c r="E887" i="123"/>
  <c r="A885" i="123"/>
  <c r="H885" i="123" s="1"/>
  <c r="A883" i="123"/>
  <c r="F868" i="123"/>
  <c r="E868" i="123"/>
  <c r="D868" i="123"/>
  <c r="F867" i="123"/>
  <c r="E867" i="123"/>
  <c r="D867" i="123"/>
  <c r="C867" i="123"/>
  <c r="B867" i="123"/>
  <c r="C866" i="123"/>
  <c r="K838" i="123"/>
  <c r="I838" i="123"/>
  <c r="F838" i="123"/>
  <c r="C838" i="123"/>
  <c r="I837" i="123"/>
  <c r="H837" i="123"/>
  <c r="F837" i="123"/>
  <c r="E837" i="123"/>
  <c r="B837" i="123"/>
  <c r="I836" i="123"/>
  <c r="H836" i="123"/>
  <c r="E836" i="123"/>
  <c r="D836" i="123"/>
  <c r="C836" i="123"/>
  <c r="B836"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E805" i="123"/>
  <c r="D805" i="123"/>
  <c r="C805" i="123"/>
  <c r="B805" i="123"/>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K773" i="123"/>
  <c r="J773" i="123"/>
  <c r="I773" i="123"/>
  <c r="H773" i="123"/>
  <c r="G773" i="123"/>
  <c r="F773" i="123"/>
  <c r="D773" i="123"/>
  <c r="C773" i="123"/>
  <c r="B773" i="123"/>
  <c r="C752" i="123"/>
  <c r="N750" i="123"/>
  <c r="C747" i="123"/>
  <c r="K746" i="123"/>
  <c r="B746" i="123"/>
  <c r="G745" i="123"/>
  <c r="B745" i="123"/>
  <c r="K744" i="123"/>
  <c r="B744" i="123"/>
  <c r="N742" i="123"/>
  <c r="C742" i="123"/>
  <c r="A740" i="123"/>
  <c r="N740" i="123" s="1"/>
  <c r="Q728" i="123"/>
  <c r="N720" i="123"/>
  <c r="H720" i="123"/>
  <c r="H719" i="123"/>
  <c r="H718" i="123"/>
  <c r="H717" i="123"/>
  <c r="N715" i="123"/>
  <c r="H715" i="123"/>
  <c r="H714" i="123"/>
  <c r="N711" i="123"/>
  <c r="N710" i="123"/>
  <c r="H710" i="123"/>
  <c r="H708" i="123"/>
  <c r="H707" i="123"/>
  <c r="H706" i="123"/>
  <c r="N705" i="123"/>
  <c r="N704" i="123"/>
  <c r="N703" i="123"/>
  <c r="H700" i="123"/>
  <c r="H699" i="123"/>
  <c r="L698" i="123"/>
  <c r="N698" i="123" s="1"/>
  <c r="H698" i="123"/>
  <c r="N697" i="123"/>
  <c r="H697" i="123"/>
  <c r="N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L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F134" i="123"/>
  <c r="W133" i="123"/>
  <c r="O133" i="123"/>
  <c r="V132" i="123"/>
  <c r="W122" i="123"/>
  <c r="O122" i="123"/>
  <c r="V120" i="123"/>
  <c r="D120" i="123"/>
  <c r="A116" i="123"/>
  <c r="W116" i="123" s="1"/>
  <c r="L48" i="123"/>
  <c r="I62" i="106"/>
  <c r="J292" i="123" s="1"/>
  <c r="P47" i="106"/>
  <c r="P91" i="123" s="1"/>
  <c r="P45" i="106"/>
  <c r="P44" i="106"/>
  <c r="P43" i="106"/>
  <c r="P42" i="106"/>
  <c r="P86" i="123" s="1"/>
  <c r="L35" i="106"/>
  <c r="L4" i="106"/>
  <c r="O6" i="123"/>
  <c r="A5" i="123"/>
  <c r="A3" i="113"/>
  <c r="O9" i="123"/>
  <c r="F132" i="107"/>
  <c r="N268" i="110"/>
  <c r="N252" i="110"/>
  <c r="N243" i="110"/>
  <c r="H268" i="110"/>
  <c r="N261" i="110"/>
  <c r="N258" i="110"/>
  <c r="H256" i="110"/>
  <c r="H255" i="110"/>
  <c r="H254" i="110"/>
  <c r="H246" i="110"/>
  <c r="H247" i="110"/>
  <c r="H248" i="110"/>
  <c r="H969" i="123" l="1"/>
  <c r="N719" i="123"/>
  <c r="NL475" i="123"/>
  <c r="NS472" i="123"/>
  <c r="BJ474" i="123"/>
  <c r="DJ474" i="123"/>
  <c r="ER474" i="123"/>
  <c r="GA474" i="123"/>
  <c r="HR474" i="123"/>
  <c r="IZ474" i="123"/>
  <c r="AC474" i="123"/>
  <c r="AK474" i="123"/>
  <c r="AT474" i="123"/>
  <c r="BC474" i="123"/>
  <c r="BK474" i="123"/>
  <c r="BT474" i="123"/>
  <c r="CC474" i="123"/>
  <c r="CK474" i="123"/>
  <c r="CT474" i="123"/>
  <c r="DB474" i="123"/>
  <c r="DK474" i="123"/>
  <c r="DT474" i="123"/>
  <c r="EB474" i="123"/>
  <c r="EK474" i="123"/>
  <c r="ES474" i="123"/>
  <c r="FB474" i="123"/>
  <c r="FK474" i="123"/>
  <c r="FS474" i="123"/>
  <c r="GB474" i="123"/>
  <c r="GK474" i="123"/>
  <c r="GS474" i="123"/>
  <c r="HB474" i="123"/>
  <c r="HS474" i="123"/>
  <c r="IB474" i="123"/>
  <c r="IJ474" i="123"/>
  <c r="IS474" i="123"/>
  <c r="JA474" i="123"/>
  <c r="MR474" i="123"/>
  <c r="NA474" i="123"/>
  <c r="NI474" i="123"/>
  <c r="BB474" i="123"/>
  <c r="DA474" i="123"/>
  <c r="FJ474" i="123"/>
  <c r="IA474" i="123"/>
  <c r="NH474" i="123"/>
  <c r="AD474" i="123"/>
  <c r="AM474" i="123"/>
  <c r="AU474" i="123"/>
  <c r="BD474" i="123"/>
  <c r="BL474" i="123"/>
  <c r="BU474" i="123"/>
  <c r="CD474" i="123"/>
  <c r="CL474" i="123"/>
  <c r="CU474" i="123"/>
  <c r="DC474" i="123"/>
  <c r="DL474" i="123"/>
  <c r="DU474" i="123"/>
  <c r="EC474" i="123"/>
  <c r="EL474" i="123"/>
  <c r="EU474" i="123"/>
  <c r="FC474" i="123"/>
  <c r="FL474" i="123"/>
  <c r="FT474" i="123"/>
  <c r="GC474" i="123"/>
  <c r="GL474" i="123"/>
  <c r="GT474" i="123"/>
  <c r="HC474" i="123"/>
  <c r="HT474" i="123"/>
  <c r="IC474" i="123"/>
  <c r="IK474" i="123"/>
  <c r="IT474" i="123"/>
  <c r="JC474" i="123"/>
  <c r="MS474" i="123"/>
  <c r="NB474" i="123"/>
  <c r="NK474" i="123"/>
  <c r="AS474" i="123"/>
  <c r="CS474" i="123"/>
  <c r="EA474" i="123"/>
  <c r="FR474" i="123"/>
  <c r="HA474" i="123"/>
  <c r="II474" i="123"/>
  <c r="AE474" i="123"/>
  <c r="AN474" i="123"/>
  <c r="AV474" i="123"/>
  <c r="BE474" i="123"/>
  <c r="BM474" i="123"/>
  <c r="BV474" i="123"/>
  <c r="CE474" i="123"/>
  <c r="CM474" i="123"/>
  <c r="CV474" i="123"/>
  <c r="DE474" i="123"/>
  <c r="DM474" i="123"/>
  <c r="DV474" i="123"/>
  <c r="ED474" i="123"/>
  <c r="EM474" i="123"/>
  <c r="EV474" i="123"/>
  <c r="FD474" i="123"/>
  <c r="FU474" i="123"/>
  <c r="GD474" i="123"/>
  <c r="GM474" i="123"/>
  <c r="GU474" i="123"/>
  <c r="HD474" i="123"/>
  <c r="HU474" i="123"/>
  <c r="ID474" i="123"/>
  <c r="IL474" i="123"/>
  <c r="IU474" i="123"/>
  <c r="JD474" i="123"/>
  <c r="MT474" i="123"/>
  <c r="NC474" i="123"/>
  <c r="NL474" i="123"/>
  <c r="CA474" i="123"/>
  <c r="MQ474" i="123"/>
  <c r="AF474" i="123"/>
  <c r="AO474" i="123"/>
  <c r="AW474" i="123"/>
  <c r="BF474" i="123"/>
  <c r="BO474" i="123"/>
  <c r="BW474" i="123"/>
  <c r="CF474" i="123"/>
  <c r="CN474" i="123"/>
  <c r="CW474" i="123"/>
  <c r="DF474" i="123"/>
  <c r="DN474" i="123"/>
  <c r="DW474" i="123"/>
  <c r="EE474" i="123"/>
  <c r="EN474" i="123"/>
  <c r="EW474" i="123"/>
  <c r="FE474" i="123"/>
  <c r="FW474" i="123"/>
  <c r="GE474" i="123"/>
  <c r="GN474" i="123"/>
  <c r="GV474" i="123"/>
  <c r="HE474" i="123"/>
  <c r="HV474" i="123"/>
  <c r="IE474" i="123"/>
  <c r="IM474" i="123"/>
  <c r="IV474" i="123"/>
  <c r="JE474" i="123"/>
  <c r="MU474" i="123"/>
  <c r="ND474" i="123"/>
  <c r="NM474" i="123"/>
  <c r="AJ474" i="123"/>
  <c r="CJ474" i="123"/>
  <c r="EJ474" i="123"/>
  <c r="GR474" i="123"/>
  <c r="IR474" i="123"/>
  <c r="Y474" i="123"/>
  <c r="AG474" i="123"/>
  <c r="AP474" i="123"/>
  <c r="AX474" i="123"/>
  <c r="BG474" i="123"/>
  <c r="BP474" i="123"/>
  <c r="BX474" i="123"/>
  <c r="CG474" i="123"/>
  <c r="CO474" i="123"/>
  <c r="CX474" i="123"/>
  <c r="DG474" i="123"/>
  <c r="DO474" i="123"/>
  <c r="DX474" i="123"/>
  <c r="EG474" i="123"/>
  <c r="EO474" i="123"/>
  <c r="EX474" i="123"/>
  <c r="FF474" i="123"/>
  <c r="FX474" i="123"/>
  <c r="GF474" i="123"/>
  <c r="GO474" i="123"/>
  <c r="GW474" i="123"/>
  <c r="HW474" i="123"/>
  <c r="IF474" i="123"/>
  <c r="IO474" i="123"/>
  <c r="IW474" i="123"/>
  <c r="JF474" i="123"/>
  <c r="MW474" i="123"/>
  <c r="NE474" i="123"/>
  <c r="NN474" i="123"/>
  <c r="AB474" i="123"/>
  <c r="BS474" i="123"/>
  <c r="DS474" i="123"/>
  <c r="FA474" i="123"/>
  <c r="GI474" i="123"/>
  <c r="MZ474" i="123"/>
  <c r="Z474" i="123"/>
  <c r="AH474" i="123"/>
  <c r="AQ474" i="123"/>
  <c r="AY474" i="123"/>
  <c r="BH474" i="123"/>
  <c r="BQ474" i="123"/>
  <c r="BY474" i="123"/>
  <c r="CH474" i="123"/>
  <c r="CQ474" i="123"/>
  <c r="CY474" i="123"/>
  <c r="DH474" i="123"/>
  <c r="DP474" i="123"/>
  <c r="DY474" i="123"/>
  <c r="EH474" i="123"/>
  <c r="EP474" i="123"/>
  <c r="EY474" i="123"/>
  <c r="FG474" i="123"/>
  <c r="FY474" i="123"/>
  <c r="GG474" i="123"/>
  <c r="GP474" i="123"/>
  <c r="GY474" i="123"/>
  <c r="HP474" i="123"/>
  <c r="HX474" i="123"/>
  <c r="IG474" i="123"/>
  <c r="IP474" i="123"/>
  <c r="IX474" i="123"/>
  <c r="JG474" i="123"/>
  <c r="MX474" i="123"/>
  <c r="II473" i="123"/>
  <c r="CE476" i="123"/>
  <c r="FP476" i="123"/>
  <c r="NV472" i="123"/>
  <c r="NW472" i="123"/>
  <c r="AI472" i="123"/>
  <c r="NX472" i="123"/>
  <c r="NY472" i="123"/>
  <c r="JJ472" i="123"/>
  <c r="NZ472" i="123"/>
  <c r="OA472" i="123"/>
  <c r="NO472" i="123"/>
  <c r="OB472" i="123"/>
  <c r="NQ472" i="123"/>
  <c r="OC472" i="123"/>
  <c r="NR472" i="123"/>
  <c r="NU472" i="123"/>
  <c r="FQ473" i="123"/>
  <c r="FI479" i="123"/>
  <c r="LU479" i="123"/>
  <c r="EC476" i="123"/>
  <c r="MA476" i="123"/>
  <c r="BJ479" i="123"/>
  <c r="CE479" i="123"/>
  <c r="IB479" i="123"/>
  <c r="CF479" i="123"/>
  <c r="FZ479" i="123"/>
  <c r="IP479" i="123"/>
  <c r="CZ479" i="123"/>
  <c r="GH479" i="123"/>
  <c r="IW479" i="123"/>
  <c r="DF479" i="123"/>
  <c r="GJ479" i="123"/>
  <c r="IX479" i="123"/>
  <c r="ND479" i="123"/>
  <c r="DQ479" i="123"/>
  <c r="HA479" i="123"/>
  <c r="JB479" i="123"/>
  <c r="DX479" i="123"/>
  <c r="JE479" i="123"/>
  <c r="EA479" i="123"/>
  <c r="EB479" i="123"/>
  <c r="EI479" i="123"/>
  <c r="AO479" i="123"/>
  <c r="EG478" i="123"/>
  <c r="FA477" i="123"/>
  <c r="AI475" i="123"/>
  <c r="AV475" i="123"/>
  <c r="FU475" i="123"/>
  <c r="BI475" i="123"/>
  <c r="BV475" i="123"/>
  <c r="CI475" i="123"/>
  <c r="CU475" i="123"/>
  <c r="DH475" i="123"/>
  <c r="DU475" i="123"/>
  <c r="FH475" i="123"/>
  <c r="GH475" i="123"/>
  <c r="IV475" i="123"/>
  <c r="X475" i="123"/>
  <c r="AK475" i="123"/>
  <c r="AX475" i="123"/>
  <c r="BK475" i="123"/>
  <c r="BX475" i="123"/>
  <c r="CK475" i="123"/>
  <c r="CX475" i="123"/>
  <c r="DK475" i="123"/>
  <c r="DW475" i="123"/>
  <c r="EJ475" i="123"/>
  <c r="EW475" i="123"/>
  <c r="FJ475" i="123"/>
  <c r="FW475" i="123"/>
  <c r="GJ475" i="123"/>
  <c r="GW475" i="123"/>
  <c r="HW475" i="123"/>
  <c r="IJ475" i="123"/>
  <c r="IW475" i="123"/>
  <c r="MP475" i="123"/>
  <c r="NC475" i="123"/>
  <c r="EU475" i="123"/>
  <c r="JG475" i="123"/>
  <c r="CJ475" i="123"/>
  <c r="II475" i="123"/>
  <c r="Y475" i="123"/>
  <c r="AL475" i="123"/>
  <c r="AY475" i="123"/>
  <c r="BL475" i="123"/>
  <c r="BY475" i="123"/>
  <c r="CL475" i="123"/>
  <c r="CY475" i="123"/>
  <c r="DL475" i="123"/>
  <c r="DY475" i="123"/>
  <c r="EK475" i="123"/>
  <c r="EX475" i="123"/>
  <c r="FK475" i="123"/>
  <c r="FX475" i="123"/>
  <c r="GK475" i="123"/>
  <c r="GX475" i="123"/>
  <c r="HX475" i="123"/>
  <c r="IK475" i="123"/>
  <c r="IX475" i="123"/>
  <c r="MQ475" i="123"/>
  <c r="ND475" i="123"/>
  <c r="DI475" i="123"/>
  <c r="GV475" i="123"/>
  <c r="Z475" i="123"/>
  <c r="AM475" i="123"/>
  <c r="AZ475" i="123"/>
  <c r="BM475" i="123"/>
  <c r="BZ475" i="123"/>
  <c r="CM475" i="123"/>
  <c r="CZ475" i="123"/>
  <c r="DM475" i="123"/>
  <c r="DZ475" i="123"/>
  <c r="EM475" i="123"/>
  <c r="EY475" i="123"/>
  <c r="FL475" i="123"/>
  <c r="FY475" i="123"/>
  <c r="GL475" i="123"/>
  <c r="GY475" i="123"/>
  <c r="HY475" i="123"/>
  <c r="IL475" i="123"/>
  <c r="IY475" i="123"/>
  <c r="MR475" i="123"/>
  <c r="NE475" i="123"/>
  <c r="IH475" i="123"/>
  <c r="BJ475" i="123"/>
  <c r="EV475" i="123"/>
  <c r="NA475" i="123"/>
  <c r="AA475" i="123"/>
  <c r="AN475" i="123"/>
  <c r="BA475" i="123"/>
  <c r="BN475" i="123"/>
  <c r="CA475" i="123"/>
  <c r="CN475" i="123"/>
  <c r="DA475" i="123"/>
  <c r="DN475" i="123"/>
  <c r="EA475" i="123"/>
  <c r="EN475" i="123"/>
  <c r="FA475" i="123"/>
  <c r="FZ475" i="123"/>
  <c r="GM475" i="123"/>
  <c r="GZ475" i="123"/>
  <c r="HZ475" i="123"/>
  <c r="IM475" i="123"/>
  <c r="IZ475" i="123"/>
  <c r="MS475" i="123"/>
  <c r="NF475" i="123"/>
  <c r="NM475" i="123"/>
  <c r="BW475" i="123"/>
  <c r="FI475" i="123"/>
  <c r="AB475" i="123"/>
  <c r="AO475" i="123"/>
  <c r="BB475" i="123"/>
  <c r="BO475" i="123"/>
  <c r="CB475" i="123"/>
  <c r="CO475" i="123"/>
  <c r="DB475" i="123"/>
  <c r="DO475" i="123"/>
  <c r="EB475" i="123"/>
  <c r="EO475" i="123"/>
  <c r="FB475" i="123"/>
  <c r="GA475" i="123"/>
  <c r="GN475" i="123"/>
  <c r="HA475" i="123"/>
  <c r="IA475" i="123"/>
  <c r="IN475" i="123"/>
  <c r="JA475" i="123"/>
  <c r="MT475" i="123"/>
  <c r="NG475" i="123"/>
  <c r="FV475" i="123"/>
  <c r="AC475" i="123"/>
  <c r="AP475" i="123"/>
  <c r="BC475" i="123"/>
  <c r="BP475" i="123"/>
  <c r="CC475" i="123"/>
  <c r="CP475" i="123"/>
  <c r="DC475" i="123"/>
  <c r="DP475" i="123"/>
  <c r="EC475" i="123"/>
  <c r="EP475" i="123"/>
  <c r="FC475" i="123"/>
  <c r="GC475" i="123"/>
  <c r="GO475" i="123"/>
  <c r="HB475" i="123"/>
  <c r="IB475" i="123"/>
  <c r="IO475" i="123"/>
  <c r="JB475" i="123"/>
  <c r="MU475" i="123"/>
  <c r="NH475" i="123"/>
  <c r="AE475" i="123"/>
  <c r="AQ475" i="123"/>
  <c r="BD475" i="123"/>
  <c r="BQ475" i="123"/>
  <c r="CD475" i="123"/>
  <c r="CQ475" i="123"/>
  <c r="DD475" i="123"/>
  <c r="DQ475" i="123"/>
  <c r="ED475" i="123"/>
  <c r="EQ475" i="123"/>
  <c r="FD475" i="123"/>
  <c r="GD475" i="123"/>
  <c r="GQ475" i="123"/>
  <c r="HC475" i="123"/>
  <c r="HP475" i="123"/>
  <c r="IC475" i="123"/>
  <c r="IP475" i="123"/>
  <c r="JC475" i="123"/>
  <c r="MV475" i="123"/>
  <c r="NI475" i="123"/>
  <c r="EH475" i="123"/>
  <c r="HU475" i="123"/>
  <c r="AW475" i="123"/>
  <c r="EI475" i="123"/>
  <c r="NN475" i="123"/>
  <c r="AF475" i="123"/>
  <c r="AS475" i="123"/>
  <c r="BE475" i="123"/>
  <c r="BR475" i="123"/>
  <c r="CE475" i="123"/>
  <c r="CR475" i="123"/>
  <c r="DE475" i="123"/>
  <c r="DR475" i="123"/>
  <c r="EE475" i="123"/>
  <c r="ER475" i="123"/>
  <c r="FE475" i="123"/>
  <c r="FR475" i="123"/>
  <c r="GE475" i="123"/>
  <c r="GR475" i="123"/>
  <c r="HE475" i="123"/>
  <c r="HQ475" i="123"/>
  <c r="ID475" i="123"/>
  <c r="IQ475" i="123"/>
  <c r="JD475" i="123"/>
  <c r="MW475" i="123"/>
  <c r="NJ475" i="123"/>
  <c r="GU475" i="123"/>
  <c r="MZ475" i="123"/>
  <c r="AJ475" i="123"/>
  <c r="DV475" i="123"/>
  <c r="GI475" i="123"/>
  <c r="AG475" i="123"/>
  <c r="AT475" i="123"/>
  <c r="BG475" i="123"/>
  <c r="BS475" i="123"/>
  <c r="CF475" i="123"/>
  <c r="CS475" i="123"/>
  <c r="DF475" i="123"/>
  <c r="DS475" i="123"/>
  <c r="EF475" i="123"/>
  <c r="ES475" i="123"/>
  <c r="FF475" i="123"/>
  <c r="FS475" i="123"/>
  <c r="GF475" i="123"/>
  <c r="GS475" i="123"/>
  <c r="HS475" i="123"/>
  <c r="IE475" i="123"/>
  <c r="IR475" i="123"/>
  <c r="JE475" i="123"/>
  <c r="MX475" i="123"/>
  <c r="NK475" i="123"/>
  <c r="IU475" i="123"/>
  <c r="CW475" i="123"/>
  <c r="HV475" i="123"/>
  <c r="AH475" i="123"/>
  <c r="AU475" i="123"/>
  <c r="BH475" i="123"/>
  <c r="BU475" i="123"/>
  <c r="CG475" i="123"/>
  <c r="CT475" i="123"/>
  <c r="DG475" i="123"/>
  <c r="DT475" i="123"/>
  <c r="EG475" i="123"/>
  <c r="ET475" i="123"/>
  <c r="FG475" i="123"/>
  <c r="FT475" i="123"/>
  <c r="GG475" i="123"/>
  <c r="GT475" i="123"/>
  <c r="HT475" i="123"/>
  <c r="IG475" i="123"/>
  <c r="IS475" i="123"/>
  <c r="JF475" i="123"/>
  <c r="MY475"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08" i="123" s="1"/>
  <c r="M508" i="123" s="1"/>
  <c r="L53" i="110"/>
  <c r="M53" i="110" s="1"/>
  <c r="L495" i="123"/>
  <c r="M495" i="123" s="1"/>
  <c r="L56" i="110"/>
  <c r="M56" i="110" s="1"/>
  <c r="J507" i="123"/>
  <c r="L507" i="123" s="1"/>
  <c r="M507" i="123" s="1"/>
  <c r="L497" i="123"/>
  <c r="M497" i="123" s="1"/>
  <c r="L505" i="123"/>
  <c r="M505" i="123" s="1"/>
  <c r="L498" i="123"/>
  <c r="M498" i="123" s="1"/>
  <c r="L491" i="123"/>
  <c r="M491" i="123" s="1"/>
  <c r="L484" i="123"/>
  <c r="M484" i="123" s="1"/>
  <c r="L477" i="123"/>
  <c r="M477"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L481" i="123"/>
  <c r="M481" i="123" s="1"/>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M480" i="123"/>
  <c r="AJ488" i="123"/>
  <c r="CG488" i="123"/>
  <c r="DZ488" i="123"/>
  <c r="FU488" i="123"/>
  <c r="HT488" i="123"/>
  <c r="JN488" i="123"/>
  <c r="LG488" i="123"/>
  <c r="MU488" i="123"/>
  <c r="LB502" i="123"/>
  <c r="NY485" i="123"/>
  <c r="F702" i="123"/>
  <c r="H702" i="123" s="1"/>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S228" i="123"/>
  <c r="A186" i="123"/>
  <c r="P274" i="123"/>
  <c r="P278" i="123" s="1"/>
  <c r="A249" i="123"/>
  <c r="U130" i="123"/>
  <c r="U199" i="123"/>
  <c r="J306" i="123"/>
  <c r="E222" i="123" s="1"/>
  <c r="J222" i="123" s="1"/>
  <c r="S132" i="123"/>
  <c r="J297" i="123"/>
  <c r="J1654" i="123"/>
  <c r="K1654" i="123" s="1"/>
  <c r="J1645" i="123"/>
  <c r="K1645" i="123" s="1"/>
  <c r="J142" i="123"/>
  <c r="A216" i="123"/>
  <c r="AD239" i="123"/>
  <c r="F836"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G250" i="123"/>
  <c r="S259" i="123"/>
  <c r="G138" i="123"/>
  <c r="L444" i="123"/>
  <c r="V261" i="123"/>
  <c r="K805" i="123"/>
  <c r="D752" i="123"/>
  <c r="J1629" i="123"/>
  <c r="B1673" i="123"/>
  <c r="M155" i="123"/>
  <c r="M250" i="123"/>
  <c r="D1668" i="123"/>
  <c r="P155" i="123"/>
  <c r="P250" i="123"/>
  <c r="M444" i="123"/>
  <c r="A1204" i="123"/>
  <c r="G150" i="123"/>
  <c r="S155" i="123"/>
  <c r="G241" i="123"/>
  <c r="S138" i="123"/>
  <c r="U185" i="123"/>
  <c r="J424" i="123"/>
  <c r="M206" i="123"/>
  <c r="AD237" i="123"/>
  <c r="S206" i="123"/>
  <c r="P241" i="123"/>
  <c r="J132" i="123"/>
  <c r="G155" i="123"/>
  <c r="J155" i="123"/>
  <c r="S200" i="123"/>
  <c r="P206" i="123"/>
  <c r="A131" i="123"/>
  <c r="M304" i="123"/>
  <c r="L79" i="123"/>
  <c r="P132" i="123"/>
  <c r="S217" i="123"/>
  <c r="U226" i="123"/>
  <c r="F239" i="123"/>
  <c r="G259" i="123"/>
  <c r="K424" i="123"/>
  <c r="K444" i="123"/>
  <c r="J444" i="123"/>
  <c r="I444" i="123"/>
  <c r="M424" i="123"/>
  <c r="I424" i="123"/>
  <c r="L424" i="123"/>
  <c r="S250" i="123"/>
  <c r="G228" i="123"/>
  <c r="A226" i="123"/>
  <c r="M200" i="123"/>
  <c r="P200" i="123"/>
  <c r="A199" i="123"/>
  <c r="P187" i="123"/>
  <c r="S187" i="123"/>
  <c r="G187" i="123"/>
  <c r="A185" i="123"/>
  <c r="J150" i="123"/>
  <c r="M150" i="123"/>
  <c r="P150" i="123"/>
  <c r="S150" i="123"/>
  <c r="J187" i="123"/>
  <c r="M187" i="123"/>
  <c r="J200" i="123"/>
  <c r="G200" i="123"/>
  <c r="J206" i="123"/>
  <c r="G206" i="123"/>
  <c r="F151" i="123"/>
  <c r="G132" i="123"/>
  <c r="F236" i="123"/>
  <c r="F240" i="123"/>
  <c r="I10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B866" i="123"/>
  <c r="J838" i="123"/>
  <c r="R855" i="123"/>
  <c r="S855" i="123" s="1"/>
  <c r="B868" i="123"/>
  <c r="D155" i="123"/>
  <c r="AD240" i="123"/>
  <c r="F55" i="89"/>
  <c r="C62" i="100"/>
  <c r="C61" i="100"/>
  <c r="K62" i="100" s="1"/>
  <c r="KX511" i="123" l="1"/>
  <c r="L615" i="123" s="1"/>
  <c r="L625" i="123" s="1"/>
  <c r="DB511" i="123"/>
  <c r="M571" i="123" s="1"/>
  <c r="IO511" i="123"/>
  <c r="AD238"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K62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N629" i="123" s="1"/>
  <c r="LV511" i="123"/>
  <c r="K608"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A511" i="123"/>
  <c r="A459" i="123" s="1"/>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K586" i="123" s="1"/>
  <c r="BJ511" i="123"/>
  <c r="N526" i="123" s="1"/>
  <c r="IX511" i="123"/>
  <c r="O590" i="123" s="1"/>
  <c r="BQ511" i="123"/>
  <c r="K560" i="123" s="1"/>
  <c r="FG511" i="123"/>
  <c r="O580" i="123" s="1"/>
  <c r="CZ511" i="123"/>
  <c r="K571" i="123" s="1"/>
  <c r="CW511" i="123"/>
  <c r="M572" i="123" s="1"/>
  <c r="ED511" i="123"/>
  <c r="K575" i="123" s="1"/>
  <c r="NY511" i="123"/>
  <c r="LP511" i="123"/>
  <c r="O605" i="123" s="1"/>
  <c r="IZ511" i="123"/>
  <c r="L591" i="123" s="1"/>
  <c r="GC511" i="123"/>
  <c r="L634" i="123" s="1"/>
  <c r="X511" i="123"/>
  <c r="K518" i="123" s="1"/>
  <c r="LM511" i="123"/>
  <c r="L605" i="123" s="1"/>
  <c r="L627" i="123" s="1"/>
  <c r="JX511" i="123"/>
  <c r="K618" i="123" s="1"/>
  <c r="IJ511" i="123"/>
  <c r="K588"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M626" i="123" s="1"/>
  <c r="BT511" i="123"/>
  <c r="N560" i="123" s="1"/>
  <c r="DX511" i="123"/>
  <c r="O567" i="123" s="1"/>
  <c r="DZ511" i="123"/>
  <c r="L566" i="123" s="1"/>
  <c r="LZ511" i="123"/>
  <c r="O608" i="123" s="1"/>
  <c r="AY511" i="123"/>
  <c r="M523" i="123" s="1"/>
  <c r="MT511" i="123"/>
  <c r="FA511" i="123"/>
  <c r="N579" i="123" s="1"/>
  <c r="EZ511" i="123"/>
  <c r="M579" i="123" s="1"/>
  <c r="AN511" i="123"/>
  <c r="L521" i="123" s="1"/>
  <c r="KR511" i="123"/>
  <c r="K614" i="123" s="1"/>
  <c r="K62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N627" i="123" s="1"/>
  <c r="JP511" i="123"/>
  <c r="M612" i="123" s="1"/>
  <c r="BF511" i="123"/>
  <c r="O524" i="123" s="1"/>
  <c r="EW511" i="123"/>
  <c r="O578" i="123" s="1"/>
  <c r="GS511" i="123"/>
  <c r="M637" i="123" s="1"/>
  <c r="LS511" i="123"/>
  <c r="M607" i="123" s="1"/>
  <c r="FE511" i="123"/>
  <c r="M580"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S261" i="123"/>
  <c r="AD241" i="123"/>
  <c r="C163" i="123"/>
  <c r="B172" i="123" s="1"/>
  <c r="P261" i="123"/>
  <c r="P277" i="123" s="1"/>
  <c r="P279" i="123" s="1"/>
  <c r="P281" i="123" s="1"/>
  <c r="G157" i="123"/>
  <c r="L622" i="123"/>
  <c r="E752" i="123"/>
  <c r="Q715" i="123"/>
  <c r="G261" i="123"/>
  <c r="J291" i="123" s="1"/>
  <c r="J293" i="123" s="1"/>
  <c r="J295" i="123" s="1"/>
  <c r="J298" i="123" s="1"/>
  <c r="M261" i="123"/>
  <c r="M277" i="123" s="1"/>
  <c r="M279" i="123" s="1"/>
  <c r="M281" i="123" s="1"/>
  <c r="J261" i="123"/>
  <c r="J277" i="123" s="1"/>
  <c r="J279" i="123" s="1"/>
  <c r="J281" i="123" s="1"/>
  <c r="K1661" i="123"/>
  <c r="K1663" i="123" s="1"/>
  <c r="K1677" i="123" s="1"/>
  <c r="K1679" i="123" s="1"/>
  <c r="P654" i="123"/>
  <c r="Q716" i="123"/>
  <c r="P716" i="123"/>
  <c r="Q714" i="123"/>
  <c r="P714" i="123"/>
  <c r="G62" i="100"/>
  <c r="I62" i="100"/>
  <c r="E62" i="100"/>
  <c r="N623" i="123" l="1"/>
  <c r="K627" i="123"/>
  <c r="L628" i="123"/>
  <c r="O627" i="123"/>
  <c r="P612" i="123"/>
  <c r="O622" i="123"/>
  <c r="L596" i="123"/>
  <c r="L623" i="123"/>
  <c r="N626" i="123"/>
  <c r="P561" i="123"/>
  <c r="P636" i="123"/>
  <c r="K626" i="123"/>
  <c r="P523" i="123"/>
  <c r="Q637" i="123" s="1"/>
  <c r="O626" i="123"/>
  <c r="K628" i="123"/>
  <c r="L629" i="123"/>
  <c r="P609" i="123"/>
  <c r="P624" i="123"/>
  <c r="P614" i="123"/>
  <c r="K589" i="123"/>
  <c r="M629" i="123"/>
  <c r="O623" i="123"/>
  <c r="N596" i="123"/>
  <c r="P604" i="123"/>
  <c r="P619" i="123"/>
  <c r="P618" i="123"/>
  <c r="M622" i="123"/>
  <c r="N603" i="123"/>
  <c r="K596" i="123"/>
  <c r="N628" i="123"/>
  <c r="K562" i="123"/>
  <c r="O525" i="123"/>
  <c r="O527" i="123" s="1"/>
  <c r="O529" i="123" s="1"/>
  <c r="O645" i="123" s="1"/>
  <c r="P576" i="123"/>
  <c r="O582" i="123"/>
  <c r="P638" i="123"/>
  <c r="M562" i="123"/>
  <c r="P606" i="123"/>
  <c r="P616" i="123"/>
  <c r="P642" i="123"/>
  <c r="M627" i="123"/>
  <c r="M573" i="123"/>
  <c r="P524" i="123"/>
  <c r="Q638" i="123" s="1"/>
  <c r="P584" i="123"/>
  <c r="P587" i="123"/>
  <c r="P577" i="123"/>
  <c r="P611" i="123"/>
  <c r="P608" i="123"/>
  <c r="P610" i="123"/>
  <c r="K629" i="123"/>
  <c r="P605" i="123"/>
  <c r="N622" i="123"/>
  <c r="P528" i="123"/>
  <c r="Q642" i="123" s="1"/>
  <c r="O629" i="123"/>
  <c r="L603" i="123"/>
  <c r="K623" i="123"/>
  <c r="O628" i="123"/>
  <c r="P560" i="123"/>
  <c r="P578" i="123"/>
  <c r="P634" i="123"/>
  <c r="P568" i="123"/>
  <c r="P559" i="123"/>
  <c r="P572" i="123"/>
  <c r="M603" i="123"/>
  <c r="K622" i="123"/>
  <c r="O603" i="123"/>
  <c r="M628" i="123"/>
  <c r="M623" i="123"/>
  <c r="L626" i="123"/>
  <c r="O596" i="123"/>
  <c r="P607" i="123"/>
  <c r="P613" i="123"/>
  <c r="K603" i="123"/>
  <c r="M596" i="123"/>
  <c r="P617" i="123"/>
  <c r="P615" i="123"/>
  <c r="P625" i="123"/>
  <c r="P569" i="123"/>
  <c r="P585" i="123"/>
  <c r="P556" i="123"/>
  <c r="L525" i="123"/>
  <c r="L527" i="123" s="1"/>
  <c r="L529" i="123" s="1"/>
  <c r="L547" i="123" s="1"/>
  <c r="K573" i="123"/>
  <c r="P570" i="123"/>
  <c r="N639" i="123"/>
  <c r="N641" i="123" s="1"/>
  <c r="N643" i="123" s="1"/>
  <c r="N562" i="123"/>
  <c r="M639" i="123"/>
  <c r="M641" i="123" s="1"/>
  <c r="M643" i="123" s="1"/>
  <c r="P557" i="123"/>
  <c r="K525" i="123"/>
  <c r="K527" i="123" s="1"/>
  <c r="P580" i="123"/>
  <c r="P526" i="123"/>
  <c r="Q640" i="123" s="1"/>
  <c r="P521" i="123"/>
  <c r="P522" i="123"/>
  <c r="Q636" i="123" s="1"/>
  <c r="L562" i="123"/>
  <c r="P566" i="123"/>
  <c r="K582" i="123"/>
  <c r="O562" i="123"/>
  <c r="P635" i="123"/>
  <c r="P555" i="123"/>
  <c r="P640" i="123"/>
  <c r="P518" i="123"/>
  <c r="Q632" i="123" s="1"/>
  <c r="P633" i="123"/>
  <c r="P591" i="123"/>
  <c r="N525" i="123"/>
  <c r="N527" i="123" s="1"/>
  <c r="N529" i="123" s="1"/>
  <c r="N538" i="123" s="1"/>
  <c r="N573" i="123"/>
  <c r="O573" i="123"/>
  <c r="P590" i="123"/>
  <c r="N582" i="123"/>
  <c r="P588" i="123"/>
  <c r="P558" i="123"/>
  <c r="P571" i="123"/>
  <c r="O639" i="123"/>
  <c r="O641" i="123" s="1"/>
  <c r="O643" i="123" s="1"/>
  <c r="P567" i="123"/>
  <c r="M582" i="123"/>
  <c r="P637" i="123"/>
  <c r="K639" i="123"/>
  <c r="P581" i="123"/>
  <c r="P519" i="123"/>
  <c r="Q633" i="123" s="1"/>
  <c r="L639" i="123"/>
  <c r="L641" i="123" s="1"/>
  <c r="L643" i="123" s="1"/>
  <c r="P579" i="123"/>
  <c r="L582" i="123"/>
  <c r="P632" i="123"/>
  <c r="P575" i="123"/>
  <c r="L573" i="123"/>
  <c r="P520" i="123"/>
  <c r="N586" i="123"/>
  <c r="M525" i="123"/>
  <c r="M527" i="123" s="1"/>
  <c r="M529" i="123" s="1"/>
  <c r="M544" i="123" s="1"/>
  <c r="O586" i="123"/>
  <c r="O589" i="123"/>
  <c r="M589" i="123"/>
  <c r="O592" i="123"/>
  <c r="M586" i="123"/>
  <c r="N592" i="123"/>
  <c r="L586" i="123"/>
  <c r="L589" i="123"/>
  <c r="N589" i="123"/>
  <c r="M592" i="123"/>
  <c r="K592" i="123"/>
  <c r="L592" i="123"/>
  <c r="E155" i="123"/>
  <c r="G151" i="123" s="1"/>
  <c r="F169" i="123"/>
  <c r="F752" i="123"/>
  <c r="P627" i="123" l="1"/>
  <c r="P622" i="123"/>
  <c r="O550" i="123"/>
  <c r="P626" i="123"/>
  <c r="Q635" i="123"/>
  <c r="Q634" i="123"/>
  <c r="O544" i="123"/>
  <c r="O541" i="123"/>
  <c r="O547" i="123"/>
  <c r="O532" i="123"/>
  <c r="O538" i="123"/>
  <c r="O535" i="123"/>
  <c r="P623" i="123"/>
  <c r="N550" i="123"/>
  <c r="P628" i="123"/>
  <c r="P629" i="123"/>
  <c r="P596" i="123"/>
  <c r="P718" i="123" s="1"/>
  <c r="P603" i="123"/>
  <c r="L538" i="123"/>
  <c r="L544" i="123"/>
  <c r="L645" i="123"/>
  <c r="L550" i="123"/>
  <c r="P562" i="123"/>
  <c r="L532" i="123"/>
  <c r="L535" i="123"/>
  <c r="L541" i="123"/>
  <c r="P582" i="123"/>
  <c r="P573" i="123"/>
  <c r="P589" i="123"/>
  <c r="P639" i="123"/>
  <c r="P586" i="123"/>
  <c r="N544" i="123"/>
  <c r="N547" i="123"/>
  <c r="J511" i="123"/>
  <c r="J512" i="123"/>
  <c r="N532" i="123"/>
  <c r="N535" i="123"/>
  <c r="N645" i="123"/>
  <c r="N541" i="123"/>
  <c r="P592" i="123"/>
  <c r="M535" i="123"/>
  <c r="M550" i="123"/>
  <c r="M538" i="123"/>
  <c r="M645" i="123"/>
  <c r="K641" i="123"/>
  <c r="K643" i="123" s="1"/>
  <c r="P643" i="123" s="1"/>
  <c r="K650" i="123" s="1"/>
  <c r="M547" i="123"/>
  <c r="M532" i="123"/>
  <c r="M541" i="123"/>
  <c r="P525" i="123"/>
  <c r="G752"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P717" i="123" l="1"/>
  <c r="Q717" i="123"/>
  <c r="Q718" i="123" s="1"/>
  <c r="P641" i="123"/>
  <c r="H752" i="123"/>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8" i="89"/>
  <c r="F76" i="89"/>
  <c r="F74" i="89"/>
  <c r="F40" i="89"/>
  <c r="F31" i="89"/>
  <c r="E28" i="89"/>
  <c r="E17" i="89"/>
  <c r="J5" i="87"/>
  <c r="G5" i="87"/>
  <c r="D5" i="87"/>
  <c r="A5" i="87"/>
  <c r="H54" i="86"/>
  <c r="G54" i="86"/>
  <c r="F54" i="86"/>
  <c r="E54" i="86"/>
  <c r="D54" i="86"/>
  <c r="H49" i="86"/>
  <c r="G49" i="86"/>
  <c r="F49" i="86"/>
  <c r="E49" i="86"/>
  <c r="D49" i="86"/>
  <c r="H4" i="86"/>
  <c r="E6" i="86"/>
  <c r="E5" i="86"/>
  <c r="E4" i="86"/>
  <c r="B38" i="82"/>
  <c r="B32" i="82"/>
  <c r="B24"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C25"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F134" i="111"/>
  <c r="E134" i="111"/>
  <c r="D134" i="111"/>
  <c r="C134" i="111"/>
  <c r="B134" i="111"/>
  <c r="K106" i="111"/>
  <c r="J106" i="111"/>
  <c r="I106" i="111"/>
  <c r="H106" i="111"/>
  <c r="G106" i="111"/>
  <c r="F106" i="111"/>
  <c r="E106" i="111"/>
  <c r="D106" i="111"/>
  <c r="C106" i="111"/>
  <c r="B106" i="111"/>
  <c r="K105" i="111"/>
  <c r="J105" i="111"/>
  <c r="I105" i="111"/>
  <c r="H105" i="111"/>
  <c r="G105" i="111"/>
  <c r="F105" i="111"/>
  <c r="E105" i="111"/>
  <c r="D105" i="111"/>
  <c r="C105" i="111"/>
  <c r="B105" i="111"/>
  <c r="K104" i="111"/>
  <c r="J104" i="111"/>
  <c r="I104" i="111"/>
  <c r="H104" i="111"/>
  <c r="G104" i="111"/>
  <c r="F104" i="111"/>
  <c r="E104" i="111"/>
  <c r="D104" i="111"/>
  <c r="C104" i="111"/>
  <c r="B104"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73" i="111"/>
  <c r="J73" i="111"/>
  <c r="I73" i="111"/>
  <c r="H73" i="111"/>
  <c r="G73" i="111"/>
  <c r="F73" i="111"/>
  <c r="E73" i="111"/>
  <c r="D73" i="111"/>
  <c r="C73" i="111"/>
  <c r="B73" i="111"/>
  <c r="K43" i="111"/>
  <c r="J43" i="111"/>
  <c r="I43" i="111"/>
  <c r="H43" i="111"/>
  <c r="G43" i="111"/>
  <c r="F43" i="111"/>
  <c r="E43" i="111"/>
  <c r="D43" i="111"/>
  <c r="C43" i="111"/>
  <c r="B43" i="111"/>
  <c r="K42" i="111"/>
  <c r="J42" i="111"/>
  <c r="I42" i="111"/>
  <c r="H42" i="111"/>
  <c r="G42" i="111"/>
  <c r="F42" i="111"/>
  <c r="E42" i="111"/>
  <c r="D42" i="111"/>
  <c r="C42" i="111"/>
  <c r="B42" i="111"/>
  <c r="K41" i="111"/>
  <c r="J41" i="111"/>
  <c r="I41" i="111"/>
  <c r="H41" i="111"/>
  <c r="G41" i="111"/>
  <c r="F41" i="111"/>
  <c r="E41" i="111"/>
  <c r="D41" i="111"/>
  <c r="C41" i="111"/>
  <c r="B41"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D14" i="111"/>
  <c r="E14" i="111" s="1"/>
  <c r="C14" i="111"/>
  <c r="N12" i="111"/>
  <c r="C9" i="111"/>
  <c r="N4" i="111"/>
  <c r="Q275" i="110"/>
  <c r="L269" i="110"/>
  <c r="N269" i="110" s="1"/>
  <c r="F269" i="110"/>
  <c r="L263" i="110"/>
  <c r="F258" i="110"/>
  <c r="L253" i="110"/>
  <c r="F249" i="110"/>
  <c r="L245" i="110"/>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92" i="107"/>
  <c r="M190" i="107"/>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S136" i="107"/>
  <c r="P136" i="107"/>
  <c r="M136" i="107"/>
  <c r="J136" i="107"/>
  <c r="G136" i="107"/>
  <c r="U135" i="107"/>
  <c r="A135" i="107"/>
  <c r="J131" i="107"/>
  <c r="J130" i="107"/>
  <c r="W128" i="107"/>
  <c r="O128" i="107"/>
  <c r="V127" i="107"/>
  <c r="S127" i="107"/>
  <c r="P127" i="107"/>
  <c r="M127" i="107"/>
  <c r="J127" i="107"/>
  <c r="G127" i="107"/>
  <c r="F126" i="107" s="1"/>
  <c r="W121" i="107"/>
  <c r="O121" i="107"/>
  <c r="V120" i="107"/>
  <c r="S120" i="107"/>
  <c r="G120" i="107"/>
  <c r="J15" i="115" s="1"/>
  <c r="J1624" i="123" s="1"/>
  <c r="U119" i="107"/>
  <c r="A119" i="107"/>
  <c r="W115" i="107"/>
  <c r="O115" i="107"/>
  <c r="V114" i="107"/>
  <c r="S114" i="107"/>
  <c r="G114" i="107"/>
  <c r="U113" i="107"/>
  <c r="A113" i="107"/>
  <c r="U112" i="107"/>
  <c r="A112" i="107"/>
  <c r="AD104" i="107"/>
  <c r="W104" i="107"/>
  <c r="O104" i="107"/>
  <c r="V103" i="107"/>
  <c r="S103" i="107"/>
  <c r="G103" i="107"/>
  <c r="U102" i="107"/>
  <c r="A102" i="107"/>
  <c r="W96" i="107"/>
  <c r="O96" i="107"/>
  <c r="V94" i="107"/>
  <c r="V92" i="107"/>
  <c r="S92" i="107"/>
  <c r="P92" i="107"/>
  <c r="M92" i="107"/>
  <c r="J92" i="107"/>
  <c r="G92" i="107"/>
  <c r="W87" i="107"/>
  <c r="O87" i="107"/>
  <c r="V86" i="107"/>
  <c r="S86" i="107"/>
  <c r="P86" i="107"/>
  <c r="M86" i="107"/>
  <c r="J86" i="107"/>
  <c r="G86" i="107"/>
  <c r="U85" i="107"/>
  <c r="A85" i="107"/>
  <c r="W74" i="107"/>
  <c r="O74" i="107"/>
  <c r="V73" i="107"/>
  <c r="S73" i="107"/>
  <c r="P73" i="107"/>
  <c r="M73" i="107"/>
  <c r="J73" i="107"/>
  <c r="G73" i="107"/>
  <c r="U72" i="107"/>
  <c r="A72" i="107"/>
  <c r="U71" i="107"/>
  <c r="A71" i="107"/>
  <c r="W60" i="107"/>
  <c r="O60" i="107"/>
  <c r="W54" i="107"/>
  <c r="O54" i="107"/>
  <c r="W51" i="107"/>
  <c r="W45" i="107"/>
  <c r="O45" i="107"/>
  <c r="V41" i="107"/>
  <c r="S41" i="107"/>
  <c r="P41" i="107"/>
  <c r="M41" i="107"/>
  <c r="J41" i="107"/>
  <c r="G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N245" i="110" l="1"/>
  <c r="N251" i="110"/>
  <c r="H265" i="110"/>
  <c r="N259" i="110"/>
  <c r="H252" i="110"/>
  <c r="N244" i="110"/>
  <c r="H267" i="110"/>
  <c r="H243" i="110"/>
  <c r="N250" i="110"/>
  <c r="H264" i="110"/>
  <c r="H244" i="110"/>
  <c r="H262" i="110"/>
  <c r="N260" i="110"/>
  <c r="N249" i="110"/>
  <c r="H263" i="110"/>
  <c r="N257" i="110"/>
  <c r="H245" i="110"/>
  <c r="H257" i="110"/>
  <c r="H253" i="110"/>
  <c r="H261" i="110"/>
  <c r="N267" i="110"/>
  <c r="N262" i="110"/>
  <c r="N266" i="110"/>
  <c r="H266" i="110"/>
  <c r="N253" i="110"/>
  <c r="H258" i="110"/>
  <c r="A58" i="110"/>
  <c r="A6" i="110" s="1"/>
  <c r="AG122" i="107"/>
  <c r="AH122" i="107" s="1"/>
  <c r="AG124" i="107"/>
  <c r="AH124" i="107" s="1"/>
  <c r="AA145" i="112"/>
  <c r="O1363" i="123" s="1"/>
  <c r="C769" i="123"/>
  <c r="B769" i="123"/>
  <c r="J18" i="110"/>
  <c r="J471" i="123" s="1"/>
  <c r="L471" i="123" s="1"/>
  <c r="M471" i="123" s="1"/>
  <c r="J19" i="110"/>
  <c r="J472" i="123" s="1"/>
  <c r="L472" i="123" s="1"/>
  <c r="M472" i="123" s="1"/>
  <c r="J20" i="110"/>
  <c r="J473" i="123" s="1"/>
  <c r="L473" i="123" s="1"/>
  <c r="M473" i="123" s="1"/>
  <c r="J23" i="110"/>
  <c r="J476" i="123" s="1"/>
  <c r="L476" i="123" s="1"/>
  <c r="M476" i="123" s="1"/>
  <c r="J21" i="110"/>
  <c r="J474" i="123" s="1"/>
  <c r="L474" i="123" s="1"/>
  <c r="M474" i="123" s="1"/>
  <c r="J22" i="110"/>
  <c r="J475" i="123" s="1"/>
  <c r="L475" i="123" s="1"/>
  <c r="M475" i="123" s="1"/>
  <c r="AC124" i="107"/>
  <c r="AD124" i="107" s="1"/>
  <c r="AC122" i="107"/>
  <c r="AD122" i="107" s="1"/>
  <c r="C49" i="107"/>
  <c r="G147" i="107"/>
  <c r="F39" i="107"/>
  <c r="M147" i="107"/>
  <c r="M163" i="107" s="1"/>
  <c r="M165" i="107" s="1"/>
  <c r="M167" i="107" s="1"/>
  <c r="F125" i="107"/>
  <c r="D47" i="106"/>
  <c r="D91" i="123" s="1"/>
  <c r="P147" i="107"/>
  <c r="P163" i="107" s="1"/>
  <c r="P165" i="107" s="1"/>
  <c r="P167" i="107" s="1"/>
  <c r="F38" i="107"/>
  <c r="M67" i="85"/>
  <c r="L53" i="106"/>
  <c r="N53" i="106" s="1"/>
  <c r="I9" i="123"/>
  <c r="L98" i="123"/>
  <c r="N98" i="123" s="1"/>
  <c r="L97" i="123"/>
  <c r="N97" i="123" s="1"/>
  <c r="L54" i="106"/>
  <c r="N54" i="106" s="1"/>
  <c r="K28" i="123"/>
  <c r="H15" i="100"/>
  <c r="H8" i="100"/>
  <c r="J26" i="123"/>
  <c r="A1" i="123" s="1"/>
  <c r="A315" i="123"/>
  <c r="A46" i="123"/>
  <c r="A2" i="106"/>
  <c r="S2" i="106" s="1"/>
  <c r="F233" i="112"/>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L29" i="110"/>
  <c r="M29" i="110" s="1"/>
  <c r="F123" i="111"/>
  <c r="F130" i="111" s="1"/>
  <c r="C93" i="111"/>
  <c r="C100" i="111" s="1"/>
  <c r="S147" i="107"/>
  <c r="G43" i="107"/>
  <c r="V147" i="107"/>
  <c r="C135" i="90"/>
  <c r="E38" i="107"/>
  <c r="J147" i="107"/>
  <c r="J163" i="107" s="1"/>
  <c r="F122" i="107"/>
  <c r="C21" i="86"/>
  <c r="D21" i="86" s="1"/>
  <c r="E21" i="86" s="1"/>
  <c r="F21" i="86" s="1"/>
  <c r="G21" i="86" s="1"/>
  <c r="H21" i="86" s="1"/>
  <c r="I21" i="86" s="1"/>
  <c r="E40" i="107"/>
  <c r="E108" i="107"/>
  <c r="J108" i="107" s="1"/>
  <c r="I10" i="105"/>
  <c r="C29" i="111"/>
  <c r="C37" i="111" s="1"/>
  <c r="E29" i="111"/>
  <c r="E37" i="111" s="1"/>
  <c r="D64" i="111"/>
  <c r="C64" i="111"/>
  <c r="E64" i="111"/>
  <c r="I27" i="111"/>
  <c r="I35" i="111" s="1"/>
  <c r="D29" i="111"/>
  <c r="D37" i="111" s="1"/>
  <c r="G32" i="111"/>
  <c r="H32" i="111"/>
  <c r="D59" i="111"/>
  <c r="D67" i="111" s="1"/>
  <c r="I32" i="111"/>
  <c r="H60" i="111"/>
  <c r="H68" i="111" s="1"/>
  <c r="G91" i="111"/>
  <c r="G98" i="111" s="1"/>
  <c r="J32" i="111"/>
  <c r="I60" i="111"/>
  <c r="I68" i="111" s="1"/>
  <c r="K92" i="111"/>
  <c r="K99" i="111" s="1"/>
  <c r="B64" i="111"/>
  <c r="B93" i="111"/>
  <c r="B100" i="111" s="1"/>
  <c r="B121" i="111"/>
  <c r="B128" i="111" s="1"/>
  <c r="E58" i="111"/>
  <c r="I59" i="111"/>
  <c r="E27" i="87" s="1"/>
  <c r="B92" i="111"/>
  <c r="B99" i="111" s="1"/>
  <c r="B122" i="111"/>
  <c r="B129" i="111" s="1"/>
  <c r="K26" i="111"/>
  <c r="E28" i="111"/>
  <c r="E36" i="111" s="1"/>
  <c r="I29" i="111"/>
  <c r="F58" i="111"/>
  <c r="J59" i="111"/>
  <c r="J67" i="111" s="1"/>
  <c r="D61" i="111"/>
  <c r="D69" i="111" s="1"/>
  <c r="I90" i="111"/>
  <c r="C92" i="111"/>
  <c r="G93" i="111"/>
  <c r="K35" i="87" s="1"/>
  <c r="C122" i="111"/>
  <c r="C129" i="111" s="1"/>
  <c r="J26" i="111"/>
  <c r="D28" i="111"/>
  <c r="D36" i="111" s="1"/>
  <c r="H29" i="111"/>
  <c r="K16" i="87" s="1"/>
  <c r="C61" i="111"/>
  <c r="C69" i="111" s="1"/>
  <c r="F93" i="111"/>
  <c r="F100" i="111" s="1"/>
  <c r="B27" i="111"/>
  <c r="B35" i="111" s="1"/>
  <c r="F28" i="111"/>
  <c r="F36" i="111" s="1"/>
  <c r="J29" i="111"/>
  <c r="J37" i="111" s="1"/>
  <c r="G58" i="111"/>
  <c r="K59" i="111"/>
  <c r="K67" i="111" s="1"/>
  <c r="E61" i="111"/>
  <c r="E69" i="111" s="1"/>
  <c r="J90" i="111"/>
  <c r="D92" i="111"/>
  <c r="D99" i="111" s="1"/>
  <c r="H93" i="111"/>
  <c r="D122" i="111"/>
  <c r="D129" i="111" s="1"/>
  <c r="E26" i="111"/>
  <c r="C90" i="111"/>
  <c r="F26" i="111"/>
  <c r="J27" i="111"/>
  <c r="J35" i="111" s="1"/>
  <c r="E59" i="111"/>
  <c r="E67" i="111" s="1"/>
  <c r="D90" i="111"/>
  <c r="H91" i="111"/>
  <c r="C121" i="111"/>
  <c r="C128" i="111" s="1"/>
  <c r="G26" i="111"/>
  <c r="K27" i="111"/>
  <c r="E19" i="87" s="1"/>
  <c r="B58" i="111"/>
  <c r="F59" i="111"/>
  <c r="F67" i="111" s="1"/>
  <c r="J60" i="111"/>
  <c r="J68" i="111" s="1"/>
  <c r="E90" i="111"/>
  <c r="I91" i="111"/>
  <c r="I98" i="111" s="1"/>
  <c r="D121" i="111"/>
  <c r="D128" i="111" s="1"/>
  <c r="H26" i="111"/>
  <c r="B28" i="111"/>
  <c r="B36" i="111" s="1"/>
  <c r="F29" i="111"/>
  <c r="F37" i="111" s="1"/>
  <c r="C58" i="111"/>
  <c r="G59" i="111"/>
  <c r="G67" i="111" s="1"/>
  <c r="K60" i="111"/>
  <c r="K68" i="111" s="1"/>
  <c r="F90" i="111"/>
  <c r="J91" i="111"/>
  <c r="D93" i="111"/>
  <c r="E121" i="111"/>
  <c r="E128" i="111" s="1"/>
  <c r="C28" i="111"/>
  <c r="C36" i="111" s="1"/>
  <c r="K32" i="111"/>
  <c r="D58" i="111"/>
  <c r="H59" i="111"/>
  <c r="E26" i="87" s="1"/>
  <c r="B61" i="111"/>
  <c r="B69" i="111" s="1"/>
  <c r="F64" i="111"/>
  <c r="G90" i="111"/>
  <c r="K91" i="111"/>
  <c r="K98" i="111" s="1"/>
  <c r="E93" i="111"/>
  <c r="E100" i="111" s="1"/>
  <c r="F121" i="111"/>
  <c r="F128" i="111" s="1"/>
  <c r="H90" i="111"/>
  <c r="C27" i="111"/>
  <c r="E11" i="87" s="1"/>
  <c r="G28" i="111"/>
  <c r="G36" i="111" s="1"/>
  <c r="K29" i="111"/>
  <c r="K37" i="111" s="1"/>
  <c r="H58" i="111"/>
  <c r="B60" i="111"/>
  <c r="B68" i="111" s="1"/>
  <c r="F61" i="111"/>
  <c r="K90" i="111"/>
  <c r="E92" i="111"/>
  <c r="E99" i="111" s="1"/>
  <c r="I93" i="111"/>
  <c r="K37" i="87" s="1"/>
  <c r="E122" i="111"/>
  <c r="E129" i="111" s="1"/>
  <c r="J178" i="107"/>
  <c r="D27" i="111"/>
  <c r="D35" i="111" s="1"/>
  <c r="H28" i="111"/>
  <c r="H36" i="111" s="1"/>
  <c r="B44" i="111"/>
  <c r="B782" i="123" s="1"/>
  <c r="I58" i="111"/>
  <c r="C60" i="111"/>
  <c r="C68" i="111" s="1"/>
  <c r="G61" i="111"/>
  <c r="K25" i="87" s="1"/>
  <c r="B91" i="111"/>
  <c r="B98" i="111" s="1"/>
  <c r="F92" i="111"/>
  <c r="F99" i="111" s="1"/>
  <c r="J93" i="111"/>
  <c r="J100" i="111" s="1"/>
  <c r="B120" i="111"/>
  <c r="F122" i="111"/>
  <c r="F129" i="111" s="1"/>
  <c r="E27" i="111"/>
  <c r="E35" i="111" s="1"/>
  <c r="I28" i="111"/>
  <c r="I36" i="111" s="1"/>
  <c r="C32" i="111"/>
  <c r="J58" i="111"/>
  <c r="D60" i="111"/>
  <c r="D68" i="111" s="1"/>
  <c r="H61" i="111"/>
  <c r="H69" i="111" s="1"/>
  <c r="C91" i="111"/>
  <c r="C98" i="111" s="1"/>
  <c r="G92" i="111"/>
  <c r="G99" i="111" s="1"/>
  <c r="K93" i="111"/>
  <c r="K39" i="87" s="1"/>
  <c r="C120" i="111"/>
  <c r="B123" i="111"/>
  <c r="B130" i="111" s="1"/>
  <c r="G29" i="111"/>
  <c r="B26" i="111"/>
  <c r="F27" i="111"/>
  <c r="J28" i="111"/>
  <c r="J36" i="111" s="1"/>
  <c r="D32" i="111"/>
  <c r="K58" i="111"/>
  <c r="E60" i="111"/>
  <c r="I61" i="111"/>
  <c r="I69" i="111" s="1"/>
  <c r="D91" i="111"/>
  <c r="E32" i="87" s="1"/>
  <c r="H92" i="111"/>
  <c r="H99" i="111" s="1"/>
  <c r="D120" i="111"/>
  <c r="C123" i="111"/>
  <c r="C130" i="111" s="1"/>
  <c r="C26" i="111"/>
  <c r="G27" i="111"/>
  <c r="G35" i="111" s="1"/>
  <c r="K28" i="111"/>
  <c r="K36" i="111" s="1"/>
  <c r="E32" i="111"/>
  <c r="B59" i="111"/>
  <c r="B67" i="111" s="1"/>
  <c r="F60" i="111"/>
  <c r="F68" i="111" s="1"/>
  <c r="J61" i="111"/>
  <c r="J69" i="111" s="1"/>
  <c r="E91" i="111"/>
  <c r="E98" i="111" s="1"/>
  <c r="I92" i="111"/>
  <c r="I99" i="111" s="1"/>
  <c r="E120" i="111"/>
  <c r="D123" i="111"/>
  <c r="D130" i="111" s="1"/>
  <c r="I26" i="111"/>
  <c r="D26" i="111"/>
  <c r="H27" i="111"/>
  <c r="H35" i="111" s="1"/>
  <c r="B29" i="111"/>
  <c r="B37" i="111" s="1"/>
  <c r="F32" i="111"/>
  <c r="C59" i="111"/>
  <c r="G60" i="111"/>
  <c r="G68" i="111" s="1"/>
  <c r="K61" i="111"/>
  <c r="K69" i="111" s="1"/>
  <c r="B90" i="111"/>
  <c r="F91" i="111"/>
  <c r="F98" i="111" s="1"/>
  <c r="J92" i="111"/>
  <c r="J99" i="111" s="1"/>
  <c r="F120" i="11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25" i="110"/>
  <c r="M25" i="110" s="1"/>
  <c r="L45" i="110"/>
  <c r="M45" i="110" s="1"/>
  <c r="L33" i="110"/>
  <c r="M33" i="110" s="1"/>
  <c r="L32" i="110"/>
  <c r="M32" i="110" s="1"/>
  <c r="L34" i="110"/>
  <c r="M34" i="110" s="1"/>
  <c r="L36" i="110"/>
  <c r="M36" i="110" s="1"/>
  <c r="L39" i="110"/>
  <c r="M39" i="110" s="1"/>
  <c r="L37" i="110"/>
  <c r="M37" i="110" s="1"/>
  <c r="L41" i="110"/>
  <c r="M41" i="110" s="1"/>
  <c r="L43" i="110"/>
  <c r="M43" i="110" s="1"/>
  <c r="L24" i="110"/>
  <c r="M24" i="110" s="1"/>
  <c r="L42" i="110"/>
  <c r="M42" i="110" s="1"/>
  <c r="L44" i="110"/>
  <c r="M44" i="110" s="1"/>
  <c r="L31" i="110"/>
  <c r="M31" i="110" s="1"/>
  <c r="L27" i="110"/>
  <c r="M27" i="110" s="1"/>
  <c r="L46" i="110"/>
  <c r="M46" i="110" s="1"/>
  <c r="L28" i="110"/>
  <c r="M28" i="110" s="1"/>
  <c r="L57" i="110"/>
  <c r="M57" i="110" s="1"/>
  <c r="L47" i="110"/>
  <c r="M47" i="110" s="1"/>
  <c r="L30" i="110"/>
  <c r="M30" i="110" s="1"/>
  <c r="L35" i="110"/>
  <c r="M35" i="110" s="1"/>
  <c r="D769" i="123"/>
  <c r="C53" i="82"/>
  <c r="E12" i="86"/>
  <c r="G31" i="86"/>
  <c r="D52" i="86"/>
  <c r="E52" i="86"/>
  <c r="G12" i="86"/>
  <c r="I31" i="86"/>
  <c r="F52" i="86"/>
  <c r="H31" i="86"/>
  <c r="C11" i="86"/>
  <c r="D11" i="86"/>
  <c r="H12" i="86"/>
  <c r="C51" i="86"/>
  <c r="G52" i="86"/>
  <c r="F12" i="86"/>
  <c r="E11" i="86"/>
  <c r="I12" i="86"/>
  <c r="D51" i="86"/>
  <c r="H52" i="86"/>
  <c r="G11" i="86"/>
  <c r="D32" i="86"/>
  <c r="F51" i="86"/>
  <c r="E51" i="86"/>
  <c r="H11" i="86"/>
  <c r="E32" i="86"/>
  <c r="G51" i="86"/>
  <c r="I11" i="86"/>
  <c r="F32" i="86"/>
  <c r="H51" i="86"/>
  <c r="F11" i="86"/>
  <c r="C31" i="86"/>
  <c r="D31" i="86"/>
  <c r="G32" i="86"/>
  <c r="E31" i="86"/>
  <c r="H32" i="86"/>
  <c r="F31" i="86"/>
  <c r="I32" i="86"/>
  <c r="C32" i="86"/>
  <c r="E28" i="87"/>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F40" i="107"/>
  <c r="F124" i="107"/>
  <c r="L22" i="110" l="1"/>
  <c r="M22" i="110" s="1"/>
  <c r="AJ122" i="107"/>
  <c r="L23" i="110"/>
  <c r="M23" i="110" s="1"/>
  <c r="L19" i="110"/>
  <c r="M19" i="110" s="1"/>
  <c r="L20" i="110"/>
  <c r="M20" i="110" s="1"/>
  <c r="L21" i="110"/>
  <c r="M21" i="110" s="1"/>
  <c r="L18" i="110"/>
  <c r="M18" i="110" s="1"/>
  <c r="AJ124" i="107"/>
  <c r="M511" i="123"/>
  <c r="M512" i="123" s="1"/>
  <c r="I770" i="123"/>
  <c r="H770" i="123"/>
  <c r="F802" i="123"/>
  <c r="K770" i="123"/>
  <c r="D770" i="123"/>
  <c r="E770" i="123"/>
  <c r="C44" i="111"/>
  <c r="C782" i="123" s="1"/>
  <c r="J770" i="123"/>
  <c r="H14" i="86"/>
  <c r="G770" i="123"/>
  <c r="F34" i="86"/>
  <c r="B802" i="123"/>
  <c r="I34" i="86"/>
  <c r="E802" i="123"/>
  <c r="G34" i="86"/>
  <c r="C802" i="123"/>
  <c r="R21" i="111"/>
  <c r="B770" i="123"/>
  <c r="H34" i="86"/>
  <c r="D802" i="123"/>
  <c r="G14" i="86"/>
  <c r="F770" i="123"/>
  <c r="D14" i="86"/>
  <c r="C770" i="123"/>
  <c r="I764" i="123"/>
  <c r="B858" i="123"/>
  <c r="J764" i="123"/>
  <c r="F828" i="123"/>
  <c r="F858" i="123"/>
  <c r="D858" i="123"/>
  <c r="C858" i="123"/>
  <c r="G828" i="123"/>
  <c r="G764" i="123"/>
  <c r="J828" i="123"/>
  <c r="B10" i="87"/>
  <c r="B764" i="123"/>
  <c r="B40" i="111"/>
  <c r="E858" i="123"/>
  <c r="K828" i="123"/>
  <c r="C796" i="123"/>
  <c r="E796" i="123"/>
  <c r="B796" i="123"/>
  <c r="B30" i="87"/>
  <c r="B828" i="123"/>
  <c r="D828" i="123"/>
  <c r="G796" i="123"/>
  <c r="I828" i="123"/>
  <c r="H796" i="123"/>
  <c r="B22" i="87"/>
  <c r="D796" i="123"/>
  <c r="H764" i="123"/>
  <c r="C764" i="123"/>
  <c r="B29" i="87"/>
  <c r="K796" i="123"/>
  <c r="I796" i="123"/>
  <c r="J796" i="123"/>
  <c r="F764" i="123"/>
  <c r="F796" i="123"/>
  <c r="K764" i="123"/>
  <c r="E828" i="123"/>
  <c r="C828" i="123"/>
  <c r="B12" i="87"/>
  <c r="D764" i="123"/>
  <c r="H828" i="123"/>
  <c r="E764" i="123"/>
  <c r="AE123" i="107"/>
  <c r="AF123" i="107" s="1"/>
  <c r="AE125" i="107"/>
  <c r="AF125" i="107" s="1"/>
  <c r="P1409" i="123"/>
  <c r="AJ125" i="107"/>
  <c r="I63" i="115"/>
  <c r="I62" i="115"/>
  <c r="F37" i="107"/>
  <c r="K48" i="115"/>
  <c r="B14" i="82"/>
  <c r="H18" i="100"/>
  <c r="I63" i="106"/>
  <c r="I107" i="123"/>
  <c r="L36" i="106"/>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O1409" i="123"/>
  <c r="L1219" i="123"/>
  <c r="G1468" i="123"/>
  <c r="AA256" i="112"/>
  <c r="AA268" i="112" s="1"/>
  <c r="P1579" i="123"/>
  <c r="AB334" i="112"/>
  <c r="BN413" i="112" s="1"/>
  <c r="O1579" i="123"/>
  <c r="K1579" i="123" s="1"/>
  <c r="K1572" i="123"/>
  <c r="A594" i="123"/>
  <c r="O1534" i="123"/>
  <c r="R1534" i="123" s="1"/>
  <c r="I784" i="123"/>
  <c r="K31" i="87"/>
  <c r="K13" i="87"/>
  <c r="E41" i="107"/>
  <c r="G37" i="107" s="1"/>
  <c r="H39" i="87"/>
  <c r="E17" i="87"/>
  <c r="K11" i="87"/>
  <c r="B37" i="87"/>
  <c r="H98" i="111"/>
  <c r="E29" i="87"/>
  <c r="K26" i="87"/>
  <c r="B36" i="87"/>
  <c r="H37" i="87"/>
  <c r="B34" i="87"/>
  <c r="C14" i="86"/>
  <c r="B15" i="87"/>
  <c r="E39" i="87"/>
  <c r="D98" i="111"/>
  <c r="C35" i="111"/>
  <c r="C99" i="111"/>
  <c r="H31" i="87"/>
  <c r="G69" i="111"/>
  <c r="E33" i="87"/>
  <c r="E24" i="87"/>
  <c r="B25" i="87"/>
  <c r="R22" i="111"/>
  <c r="K19" i="87"/>
  <c r="K100" i="111"/>
  <c r="E40" i="87"/>
  <c r="K27" i="87"/>
  <c r="H100" i="111"/>
  <c r="H28" i="87"/>
  <c r="G100" i="111"/>
  <c r="B18" i="87"/>
  <c r="J46" i="115"/>
  <c r="K46" i="115" s="1"/>
  <c r="J45" i="115"/>
  <c r="K45" i="115" s="1"/>
  <c r="J165" i="107"/>
  <c r="J167" i="107" s="1"/>
  <c r="E3" i="86"/>
  <c r="J43" i="115"/>
  <c r="K43" i="115" s="1"/>
  <c r="J44" i="115"/>
  <c r="K44" i="115" s="1"/>
  <c r="J42" i="115"/>
  <c r="J41" i="115"/>
  <c r="K41" i="115" s="1"/>
  <c r="J40" i="115"/>
  <c r="K40" i="115" s="1"/>
  <c r="J38" i="115"/>
  <c r="K38" i="115" s="1"/>
  <c r="J177" i="107"/>
  <c r="J179" i="107" s="1"/>
  <c r="J181" i="107" s="1"/>
  <c r="B4" i="82"/>
  <c r="C18" i="100"/>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B33" i="87"/>
  <c r="I14" i="86"/>
  <c r="K12" i="87"/>
  <c r="B24" i="87"/>
  <c r="H37" i="111"/>
  <c r="H34" i="87"/>
  <c r="R38" i="111"/>
  <c r="H32" i="87"/>
  <c r="K23" i="87"/>
  <c r="K41" i="87"/>
  <c r="H36" i="87"/>
  <c r="B38" i="87"/>
  <c r="B23" i="87"/>
  <c r="B17" i="87"/>
  <c r="J98" i="111"/>
  <c r="H11" i="87"/>
  <c r="E31" i="87"/>
  <c r="R37" i="111"/>
  <c r="K34" i="87"/>
  <c r="E16" i="87"/>
  <c r="E14" i="86"/>
  <c r="B20" i="87"/>
  <c r="K42" i="87"/>
  <c r="B35" i="87"/>
  <c r="E43" i="87"/>
  <c r="H17" i="87"/>
  <c r="E38" i="87"/>
  <c r="K21" i="87"/>
  <c r="R27" i="111"/>
  <c r="R25" i="111"/>
  <c r="B43" i="87"/>
  <c r="R24" i="111"/>
  <c r="H67" i="111"/>
  <c r="B39" i="87"/>
  <c r="E37" i="87"/>
  <c r="R34" i="111"/>
  <c r="E22" i="87"/>
  <c r="B19" i="87"/>
  <c r="K14" i="87"/>
  <c r="R28" i="111"/>
  <c r="E20" i="87"/>
  <c r="K40" i="87"/>
  <c r="K15" i="87"/>
  <c r="K29" i="87"/>
  <c r="F14" i="86"/>
  <c r="R35" i="111"/>
  <c r="I49" i="106" s="1"/>
  <c r="I93" i="123" s="1"/>
  <c r="R32" i="111"/>
  <c r="H13" i="87"/>
  <c r="H40" i="87"/>
  <c r="F69" i="111"/>
  <c r="K45" i="82"/>
  <c r="H65" i="82"/>
  <c r="I65" i="82"/>
  <c r="H33" i="87"/>
  <c r="H45" i="82"/>
  <c r="E14" i="87"/>
  <c r="B13" i="87"/>
  <c r="B16" i="87"/>
  <c r="H44" i="87"/>
  <c r="E45" i="82"/>
  <c r="B11" i="87"/>
  <c r="R26" i="111"/>
  <c r="F65" i="82"/>
  <c r="C76" i="100"/>
  <c r="K10" i="87"/>
  <c r="C45" i="82"/>
  <c r="H12" i="87"/>
  <c r="H24" i="87"/>
  <c r="H10" i="87"/>
  <c r="R39" i="111"/>
  <c r="B41" i="87"/>
  <c r="I37" i="111"/>
  <c r="E13" i="87"/>
  <c r="E30" i="87"/>
  <c r="C54" i="86"/>
  <c r="E18" i="87"/>
  <c r="K36" i="87"/>
  <c r="K20" i="87"/>
  <c r="B21" i="87"/>
  <c r="H18" i="87"/>
  <c r="E35" i="87"/>
  <c r="J45" i="82"/>
  <c r="K33" i="87"/>
  <c r="E25" i="87"/>
  <c r="F45" i="82"/>
  <c r="H27" i="87"/>
  <c r="R31" i="111"/>
  <c r="H23" i="87"/>
  <c r="E68" i="111"/>
  <c r="B14" i="87"/>
  <c r="B44" i="87"/>
  <c r="K65" i="82"/>
  <c r="K24" i="87"/>
  <c r="E21" i="87"/>
  <c r="E36" i="87"/>
  <c r="E65" i="82"/>
  <c r="F35" i="111"/>
  <c r="B45" i="82"/>
  <c r="B40" i="87"/>
  <c r="R36" i="111"/>
  <c r="R30" i="111"/>
  <c r="I100" i="111"/>
  <c r="H19" i="87"/>
  <c r="H38" i="87"/>
  <c r="K18" i="87"/>
  <c r="H20" i="87"/>
  <c r="B31" i="87"/>
  <c r="C67" i="111"/>
  <c r="I67" i="111"/>
  <c r="B28" i="87"/>
  <c r="K38" i="87"/>
  <c r="H43" i="87"/>
  <c r="E10" i="87"/>
  <c r="B32" i="87"/>
  <c r="E12" i="87"/>
  <c r="G37" i="111"/>
  <c r="R40" i="111"/>
  <c r="D45" i="82"/>
  <c r="R23" i="111"/>
  <c r="E34" i="87"/>
  <c r="H14" i="87"/>
  <c r="R29" i="111"/>
  <c r="K28" i="87"/>
  <c r="E15" i="87"/>
  <c r="J65" i="82"/>
  <c r="B26" i="87"/>
  <c r="D100" i="111"/>
  <c r="C34" i="86"/>
  <c r="E34" i="86"/>
  <c r="D34" i="86"/>
  <c r="K17" i="87"/>
  <c r="K22" i="87"/>
  <c r="E42" i="87"/>
  <c r="G65" i="82"/>
  <c r="C65" i="82"/>
  <c r="B65" i="82"/>
  <c r="B27" i="87"/>
  <c r="D65" i="82"/>
  <c r="I45" i="82"/>
  <c r="H21" i="87"/>
  <c r="B42" i="87"/>
  <c r="H35" i="87"/>
  <c r="E41" i="87"/>
  <c r="K35" i="111"/>
  <c r="K43" i="87"/>
  <c r="H15" i="87"/>
  <c r="H41" i="87"/>
  <c r="G45" i="82"/>
  <c r="H29" i="87"/>
  <c r="K32" i="87"/>
  <c r="H25" i="87"/>
  <c r="H22" i="87"/>
  <c r="E44" i="87"/>
  <c r="R117" i="111"/>
  <c r="S117" i="111" s="1"/>
  <c r="R33" i="11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176" i="110"/>
  <c r="L170" i="110"/>
  <c r="K133" i="110"/>
  <c r="O175" i="110"/>
  <c r="M139" i="110"/>
  <c r="E769" i="123"/>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AT416" i="112"/>
  <c r="K42" i="115"/>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Q187" i="110" s="1"/>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B58" i="107"/>
  <c r="F55" i="107"/>
  <c r="E127" i="107" l="1"/>
  <c r="M58" i="110"/>
  <c r="M59" i="110" s="1"/>
  <c r="H201" i="110" s="1"/>
  <c r="H654" i="123" s="1"/>
  <c r="B15" i="82"/>
  <c r="J184" i="107"/>
  <c r="AD224" i="123"/>
  <c r="AF224" i="123" s="1"/>
  <c r="D44" i="111"/>
  <c r="R761" i="123"/>
  <c r="R764" i="123"/>
  <c r="R775" i="123"/>
  <c r="R770" i="123"/>
  <c r="R766" i="123"/>
  <c r="R765" i="123"/>
  <c r="R760" i="123"/>
  <c r="R759" i="123"/>
  <c r="R776" i="123"/>
  <c r="R767" i="123"/>
  <c r="R777" i="123"/>
  <c r="R771" i="123"/>
  <c r="R762" i="123"/>
  <c r="R778" i="123"/>
  <c r="R772" i="123"/>
  <c r="R774" i="123"/>
  <c r="R773" i="123"/>
  <c r="R768" i="123"/>
  <c r="R763" i="123"/>
  <c r="R769" i="123"/>
  <c r="B778" i="123"/>
  <c r="C10" i="86"/>
  <c r="C40" i="111"/>
  <c r="AJ123" i="107"/>
  <c r="K1673" i="123"/>
  <c r="K1678" i="123" s="1"/>
  <c r="P54" i="106"/>
  <c r="P53" i="106"/>
  <c r="I64" i="106"/>
  <c r="P49" i="106" s="1"/>
  <c r="P93" i="123" s="1"/>
  <c r="L80" i="123"/>
  <c r="L81" i="123" s="1"/>
  <c r="L37" i="106"/>
  <c r="P98" i="123"/>
  <c r="P97" i="123"/>
  <c r="I108" i="123"/>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AF228" i="123" s="1"/>
  <c r="J784" i="123"/>
  <c r="AD223" i="123"/>
  <c r="AF223" i="123" s="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F769" i="123"/>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AF225" i="123" l="1"/>
  <c r="B15" i="111"/>
  <c r="H15" i="111" s="1"/>
  <c r="P201" i="110"/>
  <c r="P55" i="106"/>
  <c r="P99" i="123"/>
  <c r="D782" i="123"/>
  <c r="E44" i="111"/>
  <c r="C778" i="123"/>
  <c r="D40" i="111"/>
  <c r="D10" i="86"/>
  <c r="BK413" i="112"/>
  <c r="BK416" i="112" s="1"/>
  <c r="J334" i="112"/>
  <c r="BJ413" i="112"/>
  <c r="X346" i="112"/>
  <c r="AD225" i="123"/>
  <c r="K784" i="123"/>
  <c r="AD229" i="123"/>
  <c r="AF229" i="123"/>
  <c r="P1505" i="123"/>
  <c r="O1505" i="123"/>
  <c r="L1505" i="123" s="1"/>
  <c r="BN416" i="112"/>
  <c r="BO416" i="112"/>
  <c r="BM416" i="112"/>
  <c r="BL406" i="112"/>
  <c r="K1576" i="123"/>
  <c r="K1575" i="123" s="1"/>
  <c r="J1505" i="123"/>
  <c r="BJ416" i="112"/>
  <c r="BI416" i="112"/>
  <c r="M85" i="110"/>
  <c r="G769" i="123"/>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K190" i="110"/>
  <c r="P190" i="110" s="1"/>
  <c r="P188" i="110"/>
  <c r="P265" i="110"/>
  <c r="K76" i="110"/>
  <c r="P74" i="110"/>
  <c r="V123" i="112" s="1"/>
  <c r="E223" i="123" l="1"/>
  <c r="I223" i="123" s="1"/>
  <c r="F15" i="111"/>
  <c r="F753" i="123" s="1"/>
  <c r="D15" i="111"/>
  <c r="D753" i="123" s="1"/>
  <c r="G15" i="111"/>
  <c r="G753" i="123" s="1"/>
  <c r="B16" i="111"/>
  <c r="B754" i="123" s="1"/>
  <c r="C52" i="100"/>
  <c r="B753" i="123"/>
  <c r="C15" i="111"/>
  <c r="C753" i="123" s="1"/>
  <c r="E15" i="111"/>
  <c r="E753" i="123" s="1"/>
  <c r="H753" i="123"/>
  <c r="E782" i="123"/>
  <c r="F44" i="111"/>
  <c r="D778" i="123"/>
  <c r="E40" i="111"/>
  <c r="F10" i="86" s="1"/>
  <c r="E10" i="86"/>
  <c r="Q256" i="110"/>
  <c r="Q709" i="123" s="1"/>
  <c r="Q710" i="123" s="1"/>
  <c r="P282" i="123"/>
  <c r="P283" i="123" s="1"/>
  <c r="P285" i="123" s="1"/>
  <c r="M282" i="123"/>
  <c r="M283" i="123" s="1"/>
  <c r="M285" i="123" s="1"/>
  <c r="J282" i="123"/>
  <c r="J283" i="123" s="1"/>
  <c r="J285" i="123" s="1"/>
  <c r="B816" i="123"/>
  <c r="K1341" i="123"/>
  <c r="F162" i="123"/>
  <c r="F171" i="123"/>
  <c r="F163" i="123"/>
  <c r="F172" i="123"/>
  <c r="K197" i="110"/>
  <c r="J163" i="123"/>
  <c r="J172" i="123"/>
  <c r="P1498" i="123"/>
  <c r="AA233" i="112"/>
  <c r="X240" i="112"/>
  <c r="H769" i="123"/>
  <c r="G53" i="82"/>
  <c r="M168" i="107"/>
  <c r="M169" i="107" s="1"/>
  <c r="M171" i="107" s="1"/>
  <c r="F49" i="107"/>
  <c r="F58" i="107"/>
  <c r="J49" i="107"/>
  <c r="J58" i="107"/>
  <c r="AF113" i="107"/>
  <c r="AF115" i="107" s="1"/>
  <c r="E109" i="107" s="1"/>
  <c r="I109" i="107" s="1"/>
  <c r="AD115" i="107"/>
  <c r="P168" i="107"/>
  <c r="P169" i="107" s="1"/>
  <c r="P171" i="107" s="1"/>
  <c r="F48" i="107"/>
  <c r="F57" i="107"/>
  <c r="J168" i="107"/>
  <c r="J169" i="107" s="1"/>
  <c r="J14" i="111"/>
  <c r="I15" i="111"/>
  <c r="P76" i="110"/>
  <c r="K192" i="110"/>
  <c r="K94" i="110"/>
  <c r="K82" i="110"/>
  <c r="K91" i="110"/>
  <c r="K79" i="110"/>
  <c r="K85" i="110"/>
  <c r="K88" i="110"/>
  <c r="K97" i="110"/>
  <c r="B17" i="111" l="1"/>
  <c r="B22" i="111" s="1"/>
  <c r="Q695" i="123" s="1"/>
  <c r="D16" i="111"/>
  <c r="D754" i="123" s="1"/>
  <c r="E16" i="111"/>
  <c r="E754" i="123" s="1"/>
  <c r="C53" i="100"/>
  <c r="C16" i="111"/>
  <c r="C17" i="111" s="1"/>
  <c r="C755" i="123" s="1"/>
  <c r="F16" i="111"/>
  <c r="F754" i="123" s="1"/>
  <c r="H16" i="111"/>
  <c r="H754" i="123" s="1"/>
  <c r="I16" i="111"/>
  <c r="I754" i="123" s="1"/>
  <c r="G16" i="111"/>
  <c r="G17" i="111" s="1"/>
  <c r="G755" i="123" s="1"/>
  <c r="I753" i="123"/>
  <c r="T86" i="112"/>
  <c r="Q252" i="110"/>
  <c r="F782" i="123"/>
  <c r="G44" i="111"/>
  <c r="E778" i="123"/>
  <c r="F40" i="111"/>
  <c r="G10" i="86" s="1"/>
  <c r="Q257" i="110"/>
  <c r="E174" i="90"/>
  <c r="B23" i="111"/>
  <c r="B761" i="123" s="1"/>
  <c r="R257" i="110"/>
  <c r="R710" i="123"/>
  <c r="T55" i="112"/>
  <c r="T56" i="112" s="1"/>
  <c r="T58" i="112" s="1"/>
  <c r="J139" i="110"/>
  <c r="J136" i="110"/>
  <c r="J133" i="110"/>
  <c r="F247" i="112"/>
  <c r="G183" i="112"/>
  <c r="F215" i="112"/>
  <c r="O1498" i="123"/>
  <c r="K1498" i="123" s="1"/>
  <c r="U350" i="112"/>
  <c r="U346" i="112" s="1"/>
  <c r="AA341" i="112" s="1"/>
  <c r="J286" i="123"/>
  <c r="C816" i="123"/>
  <c r="AD220" i="123"/>
  <c r="E169" i="123"/>
  <c r="G168" i="123" s="1"/>
  <c r="J1267" i="123"/>
  <c r="AE236" i="123"/>
  <c r="F248" i="123"/>
  <c r="D263" i="123"/>
  <c r="AE237" i="123"/>
  <c r="H1527" i="123"/>
  <c r="AE239" i="123"/>
  <c r="AE240" i="123"/>
  <c r="AE241" i="123"/>
  <c r="J171" i="123"/>
  <c r="E201" i="123"/>
  <c r="AE238" i="123"/>
  <c r="J162" i="123"/>
  <c r="G263" i="123"/>
  <c r="P162" i="123"/>
  <c r="P171" i="123"/>
  <c r="BH407" i="112"/>
  <c r="BH416" i="112" s="1"/>
  <c r="AA374" i="112" s="1"/>
  <c r="U233" i="112"/>
  <c r="AU426" i="112"/>
  <c r="BL407" i="112"/>
  <c r="BL416" i="112" s="1"/>
  <c r="AB374" i="112" s="1"/>
  <c r="AV426" i="112"/>
  <c r="I769" i="123"/>
  <c r="H53" i="82"/>
  <c r="J1299" i="123"/>
  <c r="J171" i="107"/>
  <c r="J172" i="107" s="1"/>
  <c r="G15" i="82"/>
  <c r="K13" i="100"/>
  <c r="P57" i="107"/>
  <c r="G149" i="107"/>
  <c r="P48" i="107"/>
  <c r="O298" i="112"/>
  <c r="L191" i="113"/>
  <c r="L1063" i="123" s="1"/>
  <c r="E87" i="107"/>
  <c r="J57" i="107"/>
  <c r="L193" i="113"/>
  <c r="F134" i="107"/>
  <c r="AD106" i="107"/>
  <c r="J48" i="107"/>
  <c r="C13" i="100"/>
  <c r="D149" i="107"/>
  <c r="E55" i="107"/>
  <c r="G54" i="107" s="1"/>
  <c r="K14" i="111"/>
  <c r="J15" i="111"/>
  <c r="J16" i="111"/>
  <c r="J754" i="123" s="1"/>
  <c r="K261" i="110"/>
  <c r="K262" i="110"/>
  <c r="K260" i="110"/>
  <c r="K259" i="110"/>
  <c r="K257" i="110"/>
  <c r="K258" i="110"/>
  <c r="J59" i="110"/>
  <c r="J58" i="110"/>
  <c r="P79" i="110"/>
  <c r="P82" i="110"/>
  <c r="P94" i="110"/>
  <c r="P91" i="110"/>
  <c r="P88" i="110"/>
  <c r="P97" i="110"/>
  <c r="P85" i="110"/>
  <c r="D33" i="90"/>
  <c r="D35" i="90"/>
  <c r="D34" i="90" s="1"/>
  <c r="H16" i="85"/>
  <c r="F17" i="111" l="1"/>
  <c r="F755" i="123" s="1"/>
  <c r="C754" i="123"/>
  <c r="D17" i="111"/>
  <c r="D755" i="123" s="1"/>
  <c r="B755" i="123"/>
  <c r="K6" i="111"/>
  <c r="L4" i="95"/>
  <c r="B20" i="111"/>
  <c r="B758" i="123" s="1"/>
  <c r="E17" i="111"/>
  <c r="E22" i="111" s="1"/>
  <c r="E760" i="123" s="1"/>
  <c r="C54" i="100"/>
  <c r="G754" i="123"/>
  <c r="Q242" i="110"/>
  <c r="Q250" i="110" s="1"/>
  <c r="P251" i="110" s="1"/>
  <c r="H17" i="111"/>
  <c r="H22" i="111" s="1"/>
  <c r="H760" i="123" s="1"/>
  <c r="K8" i="111"/>
  <c r="B760" i="123"/>
  <c r="I17" i="111"/>
  <c r="I755" i="123" s="1"/>
  <c r="J4" i="91"/>
  <c r="G22" i="111"/>
  <c r="G760" i="123" s="1"/>
  <c r="Q703" i="123"/>
  <c r="O697" i="123"/>
  <c r="O696" i="123"/>
  <c r="J753" i="123"/>
  <c r="C22" i="111"/>
  <c r="I23" i="111"/>
  <c r="I761" i="123" s="1"/>
  <c r="J23" i="111"/>
  <c r="J761" i="123" s="1"/>
  <c r="G782" i="123"/>
  <c r="H44" i="111"/>
  <c r="F778" i="123"/>
  <c r="G40" i="111"/>
  <c r="O1570" i="123"/>
  <c r="K1570" i="123" s="1"/>
  <c r="U341" i="112"/>
  <c r="H23" i="111"/>
  <c r="H761" i="123" s="1"/>
  <c r="G23" i="111"/>
  <c r="G761" i="123" s="1"/>
  <c r="E23" i="111"/>
  <c r="E761" i="123" s="1"/>
  <c r="D23" i="111"/>
  <c r="D761" i="123" s="1"/>
  <c r="C23" i="111"/>
  <c r="C761" i="123" s="1"/>
  <c r="F23" i="111"/>
  <c r="F761" i="123" s="1"/>
  <c r="C13" i="86"/>
  <c r="G20" i="111"/>
  <c r="G758" i="123" s="1"/>
  <c r="P1602" i="123"/>
  <c r="P1200" i="123" s="1"/>
  <c r="AB6" i="112"/>
  <c r="AA6" i="112"/>
  <c r="O1602" i="123"/>
  <c r="O1200" i="123" s="1"/>
  <c r="T299" i="112"/>
  <c r="T298" i="112"/>
  <c r="R193" i="113"/>
  <c r="L1065" i="123"/>
  <c r="C20" i="111"/>
  <c r="C758" i="123" s="1"/>
  <c r="D816" i="123"/>
  <c r="M1268" i="123"/>
  <c r="J1268" i="123"/>
  <c r="AF236" i="123"/>
  <c r="AF239" i="123"/>
  <c r="AH239" i="123" s="1"/>
  <c r="L192" i="113"/>
  <c r="R191" i="113"/>
  <c r="J769" i="123"/>
  <c r="I53" i="82"/>
  <c r="Y56" i="112"/>
  <c r="Y58" i="112" s="1"/>
  <c r="AA58" i="112"/>
  <c r="J1270" i="123"/>
  <c r="J17" i="111"/>
  <c r="J755" i="123" s="1"/>
  <c r="B46" i="111"/>
  <c r="K15"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E20" i="111" l="1"/>
  <c r="E758" i="123" s="1"/>
  <c r="F20" i="111"/>
  <c r="F758" i="123" s="1"/>
  <c r="I22" i="111"/>
  <c r="I760" i="123" s="1"/>
  <c r="I20" i="111"/>
  <c r="I758" i="123" s="1"/>
  <c r="F22" i="111"/>
  <c r="F760" i="123" s="1"/>
  <c r="C33" i="86"/>
  <c r="D33" i="86"/>
  <c r="E755" i="123"/>
  <c r="O244" i="110"/>
  <c r="F244" i="123"/>
  <c r="F245" i="123"/>
  <c r="F130" i="107"/>
  <c r="F131" i="107"/>
  <c r="D22" i="111"/>
  <c r="D760" i="123" s="1"/>
  <c r="D20" i="111"/>
  <c r="D758" i="123" s="1"/>
  <c r="B21" i="111"/>
  <c r="B25" i="111" s="1"/>
  <c r="B34" i="111" s="1"/>
  <c r="Q269" i="110"/>
  <c r="O243" i="110"/>
  <c r="H755" i="123"/>
  <c r="H20" i="111"/>
  <c r="H758" i="123" s="1"/>
  <c r="C760" i="123"/>
  <c r="P704" i="123"/>
  <c r="Q722" i="123"/>
  <c r="K753" i="123"/>
  <c r="J22" i="111"/>
  <c r="I13" i="86"/>
  <c r="H13" i="86"/>
  <c r="H782" i="123"/>
  <c r="I44" i="111"/>
  <c r="G778" i="123"/>
  <c r="H40" i="111"/>
  <c r="H10" i="86"/>
  <c r="G13" i="86"/>
  <c r="E13" i="86"/>
  <c r="D13" i="86"/>
  <c r="F13" i="86"/>
  <c r="R192" i="113"/>
  <c r="L1064" i="123"/>
  <c r="E816" i="123"/>
  <c r="AH236" i="123"/>
  <c r="E241" i="123"/>
  <c r="A241" i="123" s="1"/>
  <c r="E33" i="86"/>
  <c r="J20" i="111"/>
  <c r="J758" i="123" s="1"/>
  <c r="K769" i="123"/>
  <c r="J53" i="82"/>
  <c r="A127" i="107"/>
  <c r="C46" i="111"/>
  <c r="B55" i="111"/>
  <c r="B793" i="123" s="1"/>
  <c r="B47" i="111"/>
  <c r="B48" i="111"/>
  <c r="B786" i="123" s="1"/>
  <c r="K17" i="111"/>
  <c r="K755" i="123" s="1"/>
  <c r="B759" i="123" l="1"/>
  <c r="B777" i="123" s="1"/>
  <c r="D21" i="111"/>
  <c r="D759" i="123" s="1"/>
  <c r="D777" i="123" s="1"/>
  <c r="B33" i="111"/>
  <c r="S21" i="111" s="1"/>
  <c r="C21" i="111"/>
  <c r="C39" i="111" s="1"/>
  <c r="E21" i="111"/>
  <c r="E25" i="111" s="1"/>
  <c r="E44" i="82" s="1"/>
  <c r="B38" i="111"/>
  <c r="G21" i="111"/>
  <c r="G25" i="111" s="1"/>
  <c r="G44" i="82" s="1"/>
  <c r="K21" i="111"/>
  <c r="K759" i="123" s="1"/>
  <c r="F21" i="111"/>
  <c r="F759" i="123" s="1"/>
  <c r="F777" i="123" s="1"/>
  <c r="B44" i="82"/>
  <c r="J21" i="111"/>
  <c r="J759" i="123" s="1"/>
  <c r="H21" i="111"/>
  <c r="H25" i="111" s="1"/>
  <c r="H34" i="111" s="1"/>
  <c r="B53" i="111"/>
  <c r="B791" i="123" s="1"/>
  <c r="I21" i="111"/>
  <c r="I759" i="123" s="1"/>
  <c r="I777" i="123" s="1"/>
  <c r="B39" i="111"/>
  <c r="K22" i="111"/>
  <c r="J760" i="123"/>
  <c r="B785" i="123"/>
  <c r="I782" i="123"/>
  <c r="J44" i="111"/>
  <c r="H778" i="123"/>
  <c r="I40" i="111"/>
  <c r="C30" i="86" s="1"/>
  <c r="I10" i="86"/>
  <c r="F816" i="123"/>
  <c r="K20" i="111"/>
  <c r="K758" i="123" s="1"/>
  <c r="F33" i="86"/>
  <c r="B801" i="123"/>
  <c r="K53" i="82"/>
  <c r="B49" i="111"/>
  <c r="B787" i="123" s="1"/>
  <c r="D46" i="111"/>
  <c r="C47" i="111"/>
  <c r="C53" i="111"/>
  <c r="C55" i="111"/>
  <c r="C793" i="123" s="1"/>
  <c r="C48" i="111"/>
  <c r="C786" i="123" s="1"/>
  <c r="H38" i="111" l="1"/>
  <c r="H44" i="82"/>
  <c r="H759" i="123"/>
  <c r="H777" i="123" s="1"/>
  <c r="H33" i="111"/>
  <c r="I9" i="86" s="1"/>
  <c r="I25" i="111"/>
  <c r="I33" i="111" s="1"/>
  <c r="C29" i="86" s="1"/>
  <c r="E34" i="111"/>
  <c r="B763" i="123"/>
  <c r="B771" i="123" s="1"/>
  <c r="S759" i="123" s="1"/>
  <c r="D39" i="111"/>
  <c r="D763" i="123"/>
  <c r="D771" i="123" s="1"/>
  <c r="D25" i="111"/>
  <c r="D44" i="82" s="1"/>
  <c r="H39" i="111"/>
  <c r="E38" i="111"/>
  <c r="I39" i="111"/>
  <c r="E33" i="111"/>
  <c r="F9" i="86" s="1"/>
  <c r="E39" i="111"/>
  <c r="E759" i="123"/>
  <c r="E763" i="123" s="1"/>
  <c r="G34" i="111"/>
  <c r="I763" i="123"/>
  <c r="I771" i="123" s="1"/>
  <c r="G759" i="123"/>
  <c r="G763" i="123" s="1"/>
  <c r="G39" i="111"/>
  <c r="G38" i="111"/>
  <c r="G33" i="111"/>
  <c r="H9" i="86" s="1"/>
  <c r="C9" i="86"/>
  <c r="F25" i="111"/>
  <c r="F34" i="111" s="1"/>
  <c r="F763" i="123"/>
  <c r="F771" i="123" s="1"/>
  <c r="J39" i="111"/>
  <c r="J763" i="123"/>
  <c r="J771" i="123" s="1"/>
  <c r="F39" i="111"/>
  <c r="J25" i="111"/>
  <c r="J38" i="111" s="1"/>
  <c r="C759" i="123"/>
  <c r="C25" i="111"/>
  <c r="J777" i="123"/>
  <c r="C785" i="123"/>
  <c r="H763" i="123"/>
  <c r="K760" i="123"/>
  <c r="K777" i="123" s="1"/>
  <c r="K39" i="111"/>
  <c r="B54" i="111"/>
  <c r="C791" i="123"/>
  <c r="J782" i="123"/>
  <c r="K44" i="111"/>
  <c r="I778" i="123"/>
  <c r="J40" i="111"/>
  <c r="D30" i="86" s="1"/>
  <c r="G816" i="123"/>
  <c r="B52" i="111"/>
  <c r="B790" i="123" s="1"/>
  <c r="G33" i="86"/>
  <c r="K25" i="111"/>
  <c r="C801" i="123"/>
  <c r="B73" i="82"/>
  <c r="C49" i="111"/>
  <c r="C787" i="123" s="1"/>
  <c r="E46" i="111"/>
  <c r="D47" i="111"/>
  <c r="D53" i="111"/>
  <c r="D55" i="111"/>
  <c r="D793" i="123" s="1"/>
  <c r="D48" i="111"/>
  <c r="D786" i="123" s="1"/>
  <c r="B772" i="123" l="1"/>
  <c r="I34" i="111"/>
  <c r="I44" i="82"/>
  <c r="I38" i="111"/>
  <c r="D33" i="111"/>
  <c r="E9" i="86" s="1"/>
  <c r="B776" i="123"/>
  <c r="J44" i="82"/>
  <c r="J776" i="123"/>
  <c r="D776" i="123"/>
  <c r="D772" i="123"/>
  <c r="D38" i="111"/>
  <c r="D34" i="111"/>
  <c r="J34" i="111"/>
  <c r="J33" i="111"/>
  <c r="D29" i="86" s="1"/>
  <c r="G777" i="123"/>
  <c r="E777" i="123"/>
  <c r="F772" i="123"/>
  <c r="F776" i="123"/>
  <c r="I772" i="123"/>
  <c r="I776" i="123"/>
  <c r="J772" i="123"/>
  <c r="F44" i="82"/>
  <c r="F33" i="111"/>
  <c r="G9" i="86" s="1"/>
  <c r="F38" i="111"/>
  <c r="C763" i="123"/>
  <c r="C777" i="123"/>
  <c r="C38" i="111"/>
  <c r="C34" i="111"/>
  <c r="C33" i="111"/>
  <c r="C44" i="82"/>
  <c r="C54" i="111"/>
  <c r="C792" i="123" s="1"/>
  <c r="C809" i="123" s="1"/>
  <c r="B792" i="123"/>
  <c r="B809" i="123" s="1"/>
  <c r="B71" i="111"/>
  <c r="E772" i="123"/>
  <c r="E771" i="123"/>
  <c r="E776" i="123"/>
  <c r="G771" i="123"/>
  <c r="G772" i="123"/>
  <c r="G776" i="123"/>
  <c r="D785" i="123"/>
  <c r="H771" i="123"/>
  <c r="H776" i="123"/>
  <c r="H772" i="123"/>
  <c r="K763" i="123"/>
  <c r="D791" i="123"/>
  <c r="K38" i="111"/>
  <c r="K34" i="111"/>
  <c r="K782" i="123"/>
  <c r="B76" i="111"/>
  <c r="J778" i="123"/>
  <c r="K40" i="111"/>
  <c r="H816" i="123"/>
  <c r="H33" i="86"/>
  <c r="K33" i="111"/>
  <c r="K44" i="82"/>
  <c r="C52" i="111"/>
  <c r="C790" i="123" s="1"/>
  <c r="B57" i="111"/>
  <c r="D801" i="123"/>
  <c r="C73" i="82"/>
  <c r="D49" i="111"/>
  <c r="D787" i="123" s="1"/>
  <c r="F46" i="111"/>
  <c r="E47" i="111"/>
  <c r="E55" i="111"/>
  <c r="E793" i="123" s="1"/>
  <c r="E53" i="111"/>
  <c r="E48" i="111"/>
  <c r="E786" i="123" s="1"/>
  <c r="S23" i="111" l="1"/>
  <c r="S25" i="111"/>
  <c r="S27" i="111"/>
  <c r="S24" i="111"/>
  <c r="S29" i="111"/>
  <c r="S26" i="111"/>
  <c r="S30" i="111"/>
  <c r="S28" i="111"/>
  <c r="C771" i="123"/>
  <c r="S765" i="123" s="1"/>
  <c r="C776" i="123"/>
  <c r="C772" i="123"/>
  <c r="S22" i="111"/>
  <c r="D9" i="86"/>
  <c r="C71" i="111"/>
  <c r="C795" i="123"/>
  <c r="C804" i="123" s="1"/>
  <c r="B795" i="123"/>
  <c r="D54" i="111"/>
  <c r="E785" i="123"/>
  <c r="K771" i="123"/>
  <c r="K772" i="123"/>
  <c r="K776" i="123"/>
  <c r="E791" i="123"/>
  <c r="B66" i="111"/>
  <c r="B70" i="111"/>
  <c r="B814" i="123"/>
  <c r="C76" i="111"/>
  <c r="K778" i="123"/>
  <c r="B72" i="111"/>
  <c r="E30" i="86"/>
  <c r="I816" i="123"/>
  <c r="D52" i="111"/>
  <c r="D790" i="123" s="1"/>
  <c r="B65" i="111"/>
  <c r="S31" i="111" s="1"/>
  <c r="B64" i="82"/>
  <c r="I33" i="86"/>
  <c r="C57" i="111"/>
  <c r="E29" i="86"/>
  <c r="E801" i="123"/>
  <c r="D73" i="82"/>
  <c r="G46" i="111"/>
  <c r="F55" i="111"/>
  <c r="F793" i="123" s="1"/>
  <c r="F47" i="111"/>
  <c r="F53" i="111"/>
  <c r="F48" i="111"/>
  <c r="F786" i="123" s="1"/>
  <c r="E49" i="111"/>
  <c r="E787" i="123" s="1"/>
  <c r="V176" i="72"/>
  <c r="V177" i="72"/>
  <c r="C803" i="123" l="1"/>
  <c r="S762" i="123"/>
  <c r="S768" i="123"/>
  <c r="S761" i="123"/>
  <c r="S760" i="123"/>
  <c r="S763" i="123"/>
  <c r="S767" i="123"/>
  <c r="S766" i="123"/>
  <c r="S764" i="123"/>
  <c r="C808" i="123"/>
  <c r="B808" i="123"/>
  <c r="B804" i="123"/>
  <c r="B803" i="123"/>
  <c r="S769" i="123" s="1"/>
  <c r="E54" i="111"/>
  <c r="E792" i="123" s="1"/>
  <c r="E809" i="123" s="1"/>
  <c r="F785" i="123"/>
  <c r="D792" i="123"/>
  <c r="D809" i="123" s="1"/>
  <c r="D71" i="111"/>
  <c r="F791" i="123"/>
  <c r="C66" i="111"/>
  <c r="C70" i="111"/>
  <c r="C814" i="123"/>
  <c r="D76" i="111"/>
  <c r="B810" i="123"/>
  <c r="C72" i="111"/>
  <c r="F30" i="86"/>
  <c r="J816" i="123"/>
  <c r="C65" i="111"/>
  <c r="S32" i="111" s="1"/>
  <c r="C64" i="82"/>
  <c r="F29" i="86"/>
  <c r="C53" i="86"/>
  <c r="E52" i="111"/>
  <c r="E790" i="123" s="1"/>
  <c r="D57" i="111"/>
  <c r="F801" i="123"/>
  <c r="E73" i="82"/>
  <c r="H46" i="111"/>
  <c r="G47" i="111"/>
  <c r="G53" i="111"/>
  <c r="G55" i="111"/>
  <c r="G793" i="123" s="1"/>
  <c r="G48" i="111"/>
  <c r="G786" i="123" s="1"/>
  <c r="F49" i="111"/>
  <c r="F787" i="123" s="1"/>
  <c r="S770" i="123" l="1"/>
  <c r="E71" i="111"/>
  <c r="E795" i="123"/>
  <c r="E803" i="123" s="1"/>
  <c r="F54" i="111"/>
  <c r="F792" i="123" s="1"/>
  <c r="F809" i="123" s="1"/>
  <c r="D795" i="123"/>
  <c r="G785" i="123"/>
  <c r="G791" i="123"/>
  <c r="D66" i="111"/>
  <c r="D70" i="111"/>
  <c r="D814" i="123"/>
  <c r="E76" i="111"/>
  <c r="C810" i="123"/>
  <c r="D72" i="111"/>
  <c r="G30" i="86"/>
  <c r="K816" i="123"/>
  <c r="D65" i="111"/>
  <c r="D64" i="82"/>
  <c r="D53" i="86"/>
  <c r="G29" i="86"/>
  <c r="F52" i="111"/>
  <c r="F790" i="123" s="1"/>
  <c r="E57" i="111"/>
  <c r="G801" i="123"/>
  <c r="F73" i="82"/>
  <c r="I46" i="111"/>
  <c r="H55" i="111"/>
  <c r="H793" i="123" s="1"/>
  <c r="H47" i="111"/>
  <c r="H53" i="111"/>
  <c r="H48" i="111"/>
  <c r="H786" i="123" s="1"/>
  <c r="G49" i="111"/>
  <c r="G787" i="123" s="1"/>
  <c r="E808" i="123" l="1"/>
  <c r="E804" i="123"/>
  <c r="F795" i="123"/>
  <c r="F804" i="123" s="1"/>
  <c r="F71" i="111"/>
  <c r="H785" i="123"/>
  <c r="G54" i="111"/>
  <c r="D803" i="123"/>
  <c r="S771" i="123" s="1"/>
  <c r="D804" i="123"/>
  <c r="D808" i="123"/>
  <c r="H791" i="123"/>
  <c r="E66" i="111"/>
  <c r="E70" i="111"/>
  <c r="E814" i="123"/>
  <c r="F76" i="111"/>
  <c r="D810" i="123"/>
  <c r="E72" i="111"/>
  <c r="H30" i="86"/>
  <c r="B846" i="123"/>
  <c r="E65" i="111"/>
  <c r="E64" i="82"/>
  <c r="G52" i="111"/>
  <c r="G790" i="123" s="1"/>
  <c r="E53" i="86"/>
  <c r="F57" i="111"/>
  <c r="H29" i="86"/>
  <c r="S33" i="111"/>
  <c r="H801" i="123"/>
  <c r="G73" i="82"/>
  <c r="J46" i="111"/>
  <c r="I47" i="111"/>
  <c r="I53" i="111"/>
  <c r="I55" i="111"/>
  <c r="I793" i="123" s="1"/>
  <c r="I48" i="111"/>
  <c r="I786" i="123" s="1"/>
  <c r="H49" i="111"/>
  <c r="H787" i="123" s="1"/>
  <c r="F803" i="123" l="1"/>
  <c r="S773" i="123" s="1"/>
  <c r="F808" i="123"/>
  <c r="I785" i="123"/>
  <c r="S772" i="123"/>
  <c r="H54" i="111"/>
  <c r="G792" i="123"/>
  <c r="G809" i="123" s="1"/>
  <c r="G71" i="111"/>
  <c r="I791" i="123"/>
  <c r="F66" i="111"/>
  <c r="F70" i="111"/>
  <c r="F814" i="123"/>
  <c r="G76" i="111"/>
  <c r="G814" i="123" s="1"/>
  <c r="E810" i="123"/>
  <c r="F72" i="111"/>
  <c r="I30" i="86"/>
  <c r="C846" i="123"/>
  <c r="H52" i="111"/>
  <c r="H790" i="123" s="1"/>
  <c r="F53" i="86"/>
  <c r="G57" i="111"/>
  <c r="F65" i="111"/>
  <c r="F64" i="82"/>
  <c r="S34" i="111"/>
  <c r="I29" i="86"/>
  <c r="I801" i="123"/>
  <c r="H73" i="82"/>
  <c r="K46" i="111"/>
  <c r="J55" i="111"/>
  <c r="J793" i="123" s="1"/>
  <c r="J53" i="111"/>
  <c r="J47" i="111"/>
  <c r="J48" i="111"/>
  <c r="J786" i="123" s="1"/>
  <c r="I49" i="111"/>
  <c r="I787" i="123" s="1"/>
  <c r="G795" i="123" l="1"/>
  <c r="H792" i="123"/>
  <c r="H809" i="123" s="1"/>
  <c r="H71" i="111"/>
  <c r="I54" i="111"/>
  <c r="J785" i="123"/>
  <c r="J791" i="123"/>
  <c r="G66" i="111"/>
  <c r="G70" i="111"/>
  <c r="F810" i="123"/>
  <c r="G72" i="111"/>
  <c r="C50" i="86"/>
  <c r="D846" i="123"/>
  <c r="C49" i="86"/>
  <c r="I52" i="111"/>
  <c r="I790" i="123" s="1"/>
  <c r="H57" i="111"/>
  <c r="G53" i="86"/>
  <c r="G65" i="111"/>
  <c r="G64" i="82"/>
  <c r="S35" i="111"/>
  <c r="J801" i="123"/>
  <c r="I73" i="82"/>
  <c r="J49" i="111"/>
  <c r="J787" i="123" s="1"/>
  <c r="B78" i="111"/>
  <c r="K53" i="111"/>
  <c r="K55" i="111"/>
  <c r="K793" i="123" s="1"/>
  <c r="K47" i="111"/>
  <c r="K48" i="111"/>
  <c r="K786" i="123" s="1"/>
  <c r="I133" i="73"/>
  <c r="O138" i="72"/>
  <c r="J54" i="111" l="1"/>
  <c r="I792" i="123"/>
  <c r="I809" i="123" s="1"/>
  <c r="I71" i="111"/>
  <c r="G803" i="123"/>
  <c r="S774" i="123" s="1"/>
  <c r="G808" i="123"/>
  <c r="G804" i="123"/>
  <c r="K785" i="123"/>
  <c r="H795" i="123"/>
  <c r="K791" i="123"/>
  <c r="H66" i="111"/>
  <c r="H70" i="111"/>
  <c r="G810" i="123"/>
  <c r="H72" i="111"/>
  <c r="D50" i="86"/>
  <c r="E846" i="123"/>
  <c r="F49" i="106"/>
  <c r="S36" i="111"/>
  <c r="H53" i="86"/>
  <c r="J52" i="111"/>
  <c r="J790" i="123" s="1"/>
  <c r="H64" i="82"/>
  <c r="H65" i="111"/>
  <c r="I57" i="111"/>
  <c r="K801" i="123"/>
  <c r="J73" i="82"/>
  <c r="K49" i="111"/>
  <c r="K787" i="123" s="1"/>
  <c r="C78" i="111"/>
  <c r="B85" i="111"/>
  <c r="B87" i="111"/>
  <c r="B825" i="123" s="1"/>
  <c r="B79" i="111"/>
  <c r="B80" i="111"/>
  <c r="B818" i="123" s="1"/>
  <c r="P47" i="72"/>
  <c r="P46" i="72"/>
  <c r="P45" i="72"/>
  <c r="B817" i="123" l="1"/>
  <c r="H803" i="123"/>
  <c r="S775" i="123" s="1"/>
  <c r="H808" i="123"/>
  <c r="H804" i="123"/>
  <c r="I795" i="123"/>
  <c r="K54" i="111"/>
  <c r="J792" i="123"/>
  <c r="J809" i="123" s="1"/>
  <c r="J71" i="111"/>
  <c r="B823" i="123"/>
  <c r="I70" i="111"/>
  <c r="I66" i="111"/>
  <c r="H810" i="123"/>
  <c r="I72" i="111"/>
  <c r="F50" i="86" s="1"/>
  <c r="E50" i="86"/>
  <c r="F846" i="123"/>
  <c r="L49" i="106"/>
  <c r="L93" i="123" s="1"/>
  <c r="F93" i="123"/>
  <c r="S37" i="111"/>
  <c r="I65" i="111"/>
  <c r="I64" i="82"/>
  <c r="K52" i="111"/>
  <c r="K790" i="123" s="1"/>
  <c r="J57" i="111"/>
  <c r="B95" i="111"/>
  <c r="B833" i="123" s="1"/>
  <c r="K73" i="82"/>
  <c r="B81" i="111"/>
  <c r="B819" i="123" s="1"/>
  <c r="D78" i="111"/>
  <c r="C79" i="111"/>
  <c r="C87" i="111"/>
  <c r="C825" i="123" s="1"/>
  <c r="C85" i="111"/>
  <c r="C80" i="111"/>
  <c r="C818" i="123" s="1"/>
  <c r="AB57" i="72"/>
  <c r="AB58" i="72"/>
  <c r="AB59" i="72"/>
  <c r="AB60" i="72"/>
  <c r="AB61" i="72"/>
  <c r="Z56" i="72"/>
  <c r="AI35" i="72"/>
  <c r="AH35" i="72"/>
  <c r="AG35" i="72"/>
  <c r="AF35" i="72"/>
  <c r="AE35" i="72"/>
  <c r="AD35" i="72"/>
  <c r="J795" i="123" l="1"/>
  <c r="J804" i="123" s="1"/>
  <c r="I804" i="123"/>
  <c r="I808" i="123"/>
  <c r="I803" i="123"/>
  <c r="S776" i="123" s="1"/>
  <c r="C817" i="123"/>
  <c r="B86" i="111"/>
  <c r="K792" i="123"/>
  <c r="K809" i="123" s="1"/>
  <c r="K71" i="111"/>
  <c r="C823" i="123"/>
  <c r="J70" i="111"/>
  <c r="J66" i="111"/>
  <c r="I810" i="123"/>
  <c r="J72" i="111"/>
  <c r="J65" i="111"/>
  <c r="J64" i="82"/>
  <c r="K57" i="111"/>
  <c r="S38" i="111"/>
  <c r="B84" i="111"/>
  <c r="B822" i="123" s="1"/>
  <c r="C95" i="111"/>
  <c r="C833" i="123" s="1"/>
  <c r="E78" i="111"/>
  <c r="D79" i="111"/>
  <c r="D85" i="111"/>
  <c r="D87" i="111"/>
  <c r="D825" i="123" s="1"/>
  <c r="D80" i="111"/>
  <c r="D818" i="123" s="1"/>
  <c r="C81" i="111"/>
  <c r="C819" i="123" s="1"/>
  <c r="R344" i="72"/>
  <c r="D4" i="93"/>
  <c r="C86" i="111" l="1"/>
  <c r="C824" i="123" s="1"/>
  <c r="C840" i="123" s="1"/>
  <c r="K795" i="123"/>
  <c r="K808" i="123" s="1"/>
  <c r="J808" i="123"/>
  <c r="J803" i="123"/>
  <c r="D817" i="123"/>
  <c r="B824" i="123"/>
  <c r="B840" i="123" s="1"/>
  <c r="B102" i="111"/>
  <c r="D823" i="123"/>
  <c r="K66" i="111"/>
  <c r="K70" i="111"/>
  <c r="J810" i="123"/>
  <c r="K72" i="111"/>
  <c r="H50" i="86" s="1"/>
  <c r="G50" i="86"/>
  <c r="S39" i="111"/>
  <c r="B89" i="111"/>
  <c r="C84" i="111"/>
  <c r="C822" i="123" s="1"/>
  <c r="K65" i="111"/>
  <c r="K64" i="82"/>
  <c r="D95" i="111"/>
  <c r="D833" i="123" s="1"/>
  <c r="F78" i="111"/>
  <c r="E79" i="111"/>
  <c r="E85" i="111"/>
  <c r="E87" i="111"/>
  <c r="E825" i="123" s="1"/>
  <c r="E80" i="111"/>
  <c r="E818" i="123" s="1"/>
  <c r="D81" i="111"/>
  <c r="D819" i="123" s="1"/>
  <c r="D14" i="100"/>
  <c r="C148" i="90"/>
  <c r="C146" i="90"/>
  <c r="G132" i="90"/>
  <c r="D132" i="90"/>
  <c r="C132" i="90"/>
  <c r="E58" i="90"/>
  <c r="C58" i="90"/>
  <c r="C56" i="90"/>
  <c r="C8" i="90"/>
  <c r="E68" i="89"/>
  <c r="E29" i="89"/>
  <c r="E5" i="89"/>
  <c r="O6" i="86"/>
  <c r="F15" i="85"/>
  <c r="D16" i="83"/>
  <c r="C102" i="111" l="1"/>
  <c r="C827" i="123"/>
  <c r="C835" i="123" s="1"/>
  <c r="K804" i="123"/>
  <c r="K803" i="123"/>
  <c r="S778" i="123" s="1"/>
  <c r="S777" i="123"/>
  <c r="B827" i="123"/>
  <c r="D86" i="111"/>
  <c r="E817" i="123"/>
  <c r="E823" i="123"/>
  <c r="B97" i="111"/>
  <c r="B101" i="111"/>
  <c r="K810" i="123"/>
  <c r="L70" i="85"/>
  <c r="L100" i="85"/>
  <c r="B103" i="111"/>
  <c r="B96" i="111"/>
  <c r="B834" i="123" s="1"/>
  <c r="S40" i="111"/>
  <c r="D84" i="111"/>
  <c r="D822" i="123" s="1"/>
  <c r="C89" i="111"/>
  <c r="E95" i="111"/>
  <c r="E833" i="123" s="1"/>
  <c r="E81" i="111"/>
  <c r="E819" i="123" s="1"/>
  <c r="G78" i="111"/>
  <c r="F85" i="111"/>
  <c r="F87" i="111"/>
  <c r="F825" i="123" s="1"/>
  <c r="F79" i="111"/>
  <c r="F80" i="111"/>
  <c r="F818" i="123" s="1"/>
  <c r="E16" i="100"/>
  <c r="F19" i="85" s="1"/>
  <c r="C16" i="100"/>
  <c r="C14" i="100"/>
  <c r="F17" i="85" s="1"/>
  <c r="C78" i="100"/>
  <c r="C82" i="100" s="1"/>
  <c r="I76" i="100"/>
  <c r="I78" i="100" s="1"/>
  <c r="G76" i="100"/>
  <c r="G78" i="100" s="1"/>
  <c r="E76" i="100"/>
  <c r="E78" i="100" s="1"/>
  <c r="K76" i="100"/>
  <c r="K78" i="100" s="1"/>
  <c r="I69" i="100"/>
  <c r="G69" i="100"/>
  <c r="E69" i="100"/>
  <c r="K69" i="100"/>
  <c r="I67" i="100"/>
  <c r="G67" i="100"/>
  <c r="E67" i="100"/>
  <c r="I61" i="100"/>
  <c r="G61" i="100"/>
  <c r="E61" i="100"/>
  <c r="K61" i="100"/>
  <c r="I60" i="100"/>
  <c r="G60" i="100"/>
  <c r="E60" i="100"/>
  <c r="I59" i="100"/>
  <c r="G59" i="100"/>
  <c r="I58" i="100"/>
  <c r="C34" i="100"/>
  <c r="C29" i="100"/>
  <c r="K33" i="100" s="1"/>
  <c r="C839" i="123" l="1"/>
  <c r="E86" i="111"/>
  <c r="D824" i="123"/>
  <c r="D840" i="123" s="1"/>
  <c r="D102" i="111"/>
  <c r="F817" i="123"/>
  <c r="B835" i="123"/>
  <c r="B839" i="123"/>
  <c r="F823" i="123"/>
  <c r="C97" i="111"/>
  <c r="C101" i="111"/>
  <c r="B841" i="123"/>
  <c r="C103" i="111"/>
  <c r="C96" i="111"/>
  <c r="C834" i="123" s="1"/>
  <c r="E84" i="111"/>
  <c r="E822" i="123" s="1"/>
  <c r="D89" i="111"/>
  <c r="F95" i="111"/>
  <c r="F833" i="123" s="1"/>
  <c r="F81" i="111"/>
  <c r="F819" i="123" s="1"/>
  <c r="H78" i="111"/>
  <c r="G79" i="11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C81" i="100"/>
  <c r="F86" i="111" l="1"/>
  <c r="F824" i="123" s="1"/>
  <c r="F840" i="123" s="1"/>
  <c r="E824" i="123"/>
  <c r="E840" i="123" s="1"/>
  <c r="E102" i="111"/>
  <c r="D827" i="123"/>
  <c r="G817" i="123"/>
  <c r="G823" i="123"/>
  <c r="D101" i="111"/>
  <c r="D97" i="111"/>
  <c r="C841" i="123"/>
  <c r="D103" i="111"/>
  <c r="F84" i="111"/>
  <c r="F822" i="123" s="1"/>
  <c r="D96" i="111"/>
  <c r="D834" i="123" s="1"/>
  <c r="E89" i="111"/>
  <c r="G95" i="111"/>
  <c r="G833" i="123" s="1"/>
  <c r="G81" i="111"/>
  <c r="G819" i="123" s="1"/>
  <c r="I78" i="111"/>
  <c r="H79" i="111"/>
  <c r="H85" i="111"/>
  <c r="H87" i="111"/>
  <c r="H825" i="123" s="1"/>
  <c r="H80" i="111"/>
  <c r="H818" i="123" s="1"/>
  <c r="E63" i="100"/>
  <c r="K37" i="100"/>
  <c r="C40" i="100"/>
  <c r="K35" i="100"/>
  <c r="K63" i="100"/>
  <c r="F827" i="123" l="1"/>
  <c r="F839" i="123" s="1"/>
  <c r="F102" i="111"/>
  <c r="G86" i="111"/>
  <c r="G824" i="123" s="1"/>
  <c r="G840" i="123" s="1"/>
  <c r="E827" i="123"/>
  <c r="D839" i="123"/>
  <c r="D835" i="123"/>
  <c r="H817" i="123"/>
  <c r="H823" i="123"/>
  <c r="E97" i="111"/>
  <c r="E101" i="111"/>
  <c r="D841" i="123"/>
  <c r="E103" i="111"/>
  <c r="G84" i="111"/>
  <c r="G822" i="123" s="1"/>
  <c r="E96" i="111"/>
  <c r="E834" i="123" s="1"/>
  <c r="F89" i="111"/>
  <c r="H95" i="111"/>
  <c r="H833" i="123" s="1"/>
  <c r="J78" i="111"/>
  <c r="I79" i="11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F835" i="123" l="1"/>
  <c r="G102" i="111"/>
  <c r="G827" i="123"/>
  <c r="G839" i="123" s="1"/>
  <c r="E839" i="123"/>
  <c r="E835" i="123"/>
  <c r="H86" i="111"/>
  <c r="H824" i="123" s="1"/>
  <c r="H840" i="123" s="1"/>
  <c r="I817" i="123"/>
  <c r="I823" i="123"/>
  <c r="F97" i="111"/>
  <c r="F101" i="111"/>
  <c r="E841" i="123"/>
  <c r="F103" i="111"/>
  <c r="H84" i="111"/>
  <c r="H822" i="123" s="1"/>
  <c r="F96" i="111"/>
  <c r="F834" i="123" s="1"/>
  <c r="G89" i="111"/>
  <c r="I95" i="111"/>
  <c r="I833" i="123" s="1"/>
  <c r="I81" i="111"/>
  <c r="I819" i="123" s="1"/>
  <c r="K78" i="111"/>
  <c r="J87" i="111"/>
  <c r="J825" i="123" s="1"/>
  <c r="J85" i="111"/>
  <c r="J79" i="111"/>
  <c r="J80" i="111"/>
  <c r="J818" i="123" s="1"/>
  <c r="G835" i="123" l="1"/>
  <c r="I86" i="111"/>
  <c r="I824" i="123" s="1"/>
  <c r="I840" i="123" s="1"/>
  <c r="H827" i="123"/>
  <c r="H835" i="123" s="1"/>
  <c r="H102" i="111"/>
  <c r="J817" i="123"/>
  <c r="J823" i="123"/>
  <c r="G97" i="111"/>
  <c r="G101" i="111"/>
  <c r="F841" i="123"/>
  <c r="G103" i="111"/>
  <c r="G96" i="111"/>
  <c r="G834" i="123" s="1"/>
  <c r="I84" i="111"/>
  <c r="I822" i="123" s="1"/>
  <c r="H89" i="111"/>
  <c r="J95" i="111"/>
  <c r="J833" i="123" s="1"/>
  <c r="J81" i="111"/>
  <c r="J819" i="123" s="1"/>
  <c r="B108" i="111"/>
  <c r="K85" i="111"/>
  <c r="K87" i="111"/>
  <c r="K825" i="123" s="1"/>
  <c r="K79" i="111"/>
  <c r="K80" i="111"/>
  <c r="K818" i="123" s="1"/>
  <c r="F18" i="85"/>
  <c r="H839" i="123" l="1"/>
  <c r="I827" i="123"/>
  <c r="I835" i="123" s="1"/>
  <c r="I102" i="111"/>
  <c r="K817" i="123"/>
  <c r="J86" i="111"/>
  <c r="K823" i="123"/>
  <c r="H101" i="111"/>
  <c r="H97" i="111"/>
  <c r="G841" i="123"/>
  <c r="H103" i="111"/>
  <c r="J84" i="111"/>
  <c r="J822" i="123" s="1"/>
  <c r="H96" i="111"/>
  <c r="H834" i="123" s="1"/>
  <c r="I89" i="111"/>
  <c r="K95" i="111"/>
  <c r="K833" i="123" s="1"/>
  <c r="C108" i="111"/>
  <c r="B109" i="111"/>
  <c r="B117" i="111"/>
  <c r="B855" i="123" s="1"/>
  <c r="B115" i="111"/>
  <c r="B110" i="111"/>
  <c r="B848" i="123" s="1"/>
  <c r="K81" i="111"/>
  <c r="K819" i="123" s="1"/>
  <c r="E242" i="72"/>
  <c r="I839" i="123" l="1"/>
  <c r="B847" i="123"/>
  <c r="J824" i="123"/>
  <c r="J840" i="123" s="1"/>
  <c r="J102" i="111"/>
  <c r="K86" i="111"/>
  <c r="B853" i="123"/>
  <c r="I97" i="111"/>
  <c r="I101" i="111"/>
  <c r="H841" i="123"/>
  <c r="I103" i="111"/>
  <c r="K84" i="111"/>
  <c r="K822" i="123" s="1"/>
  <c r="I96" i="111"/>
  <c r="I834" i="123" s="1"/>
  <c r="J89" i="111"/>
  <c r="B125" i="111"/>
  <c r="B863" i="123" s="1"/>
  <c r="B111" i="111"/>
  <c r="B849" i="123" s="1"/>
  <c r="D108" i="111"/>
  <c r="C109" i="111"/>
  <c r="C117" i="111"/>
  <c r="C855" i="123" s="1"/>
  <c r="C115" i="111"/>
  <c r="C110" i="111"/>
  <c r="C848" i="123" s="1"/>
  <c r="Q295" i="72"/>
  <c r="Q298" i="72"/>
  <c r="Q94" i="72"/>
  <c r="Q312" i="72"/>
  <c r="Q311" i="72"/>
  <c r="B116" i="111" l="1"/>
  <c r="B854" i="123" s="1"/>
  <c r="B870" i="123" s="1"/>
  <c r="K824" i="123"/>
  <c r="K840" i="123" s="1"/>
  <c r="K102" i="111"/>
  <c r="C847" i="123"/>
  <c r="J827" i="123"/>
  <c r="C853" i="123"/>
  <c r="J97" i="111"/>
  <c r="J101" i="111"/>
  <c r="I841" i="123"/>
  <c r="J103" i="111"/>
  <c r="B114" i="111"/>
  <c r="B852" i="123" s="1"/>
  <c r="J96" i="111"/>
  <c r="J834" i="123" s="1"/>
  <c r="K89" i="111"/>
  <c r="C125" i="111"/>
  <c r="C863" i="123" s="1"/>
  <c r="E108" i="111"/>
  <c r="D115" i="111"/>
  <c r="D109" i="111"/>
  <c r="D117" i="111"/>
  <c r="D855" i="123" s="1"/>
  <c r="D110" i="111"/>
  <c r="D848" i="123" s="1"/>
  <c r="C111" i="111"/>
  <c r="C849" i="123" s="1"/>
  <c r="I91" i="72"/>
  <c r="B132" i="111" l="1"/>
  <c r="B857" i="123"/>
  <c r="B865" i="123" s="1"/>
  <c r="C116" i="111"/>
  <c r="C854" i="123" s="1"/>
  <c r="C870" i="123" s="1"/>
  <c r="D847" i="123"/>
  <c r="J835" i="123"/>
  <c r="J839" i="123"/>
  <c r="K827" i="123"/>
  <c r="D853" i="123"/>
  <c r="K101" i="111"/>
  <c r="K97" i="111"/>
  <c r="J841" i="123"/>
  <c r="K103" i="111"/>
  <c r="C114" i="111"/>
  <c r="C852" i="123" s="1"/>
  <c r="K96" i="111"/>
  <c r="K834" i="123" s="1"/>
  <c r="B119" i="111"/>
  <c r="D125" i="111"/>
  <c r="D863" i="123" s="1"/>
  <c r="D111" i="111"/>
  <c r="D849" i="123" s="1"/>
  <c r="F108" i="111"/>
  <c r="E109" i="111"/>
  <c r="E115" i="111"/>
  <c r="E117" i="111"/>
  <c r="E855" i="123" s="1"/>
  <c r="E110" i="111"/>
  <c r="E848" i="123" s="1"/>
  <c r="L285" i="72"/>
  <c r="B869" i="123" l="1"/>
  <c r="C857" i="123"/>
  <c r="C865" i="123" s="1"/>
  <c r="C132" i="111"/>
  <c r="E847" i="123"/>
  <c r="K835" i="123"/>
  <c r="K839" i="123"/>
  <c r="D116" i="111"/>
  <c r="E853" i="123"/>
  <c r="B127" i="111"/>
  <c r="B131" i="111"/>
  <c r="K841" i="123"/>
  <c r="B133" i="111"/>
  <c r="B126" i="111"/>
  <c r="B864" i="123" s="1"/>
  <c r="D114" i="111"/>
  <c r="D852" i="123" s="1"/>
  <c r="C119" i="111"/>
  <c r="E125" i="111"/>
  <c r="E863" i="123" s="1"/>
  <c r="F109" i="111"/>
  <c r="F117" i="111"/>
  <c r="F855" i="123" s="1"/>
  <c r="F115" i="111"/>
  <c r="F110" i="111"/>
  <c r="F848" i="123" s="1"/>
  <c r="E111" i="111"/>
  <c r="E849" i="123" s="1"/>
  <c r="Q339" i="73"/>
  <c r="H152" i="72"/>
  <c r="C869" i="123" l="1"/>
  <c r="D854" i="123"/>
  <c r="D870" i="123" s="1"/>
  <c r="D132" i="111"/>
  <c r="F847" i="123"/>
  <c r="E116" i="111"/>
  <c r="F853" i="123"/>
  <c r="C131" i="111"/>
  <c r="C127" i="111"/>
  <c r="B871" i="123"/>
  <c r="C133" i="111"/>
  <c r="E114" i="111"/>
  <c r="E852" i="123" s="1"/>
  <c r="C126" i="111"/>
  <c r="C864" i="123" s="1"/>
  <c r="D119" i="111"/>
  <c r="F125" i="111"/>
  <c r="F863" i="123" s="1"/>
  <c r="F111" i="111"/>
  <c r="F849" i="123" s="1"/>
  <c r="L184" i="72"/>
  <c r="D857" i="123" l="1"/>
  <c r="F116" i="111"/>
  <c r="F854" i="123" s="1"/>
  <c r="F870" i="123" s="1"/>
  <c r="E854" i="123"/>
  <c r="E870" i="123" s="1"/>
  <c r="E132" i="111"/>
  <c r="D127" i="111"/>
  <c r="D131" i="111"/>
  <c r="C871" i="123"/>
  <c r="D133" i="111"/>
  <c r="F114" i="111"/>
  <c r="F852" i="123" s="1"/>
  <c r="D126" i="111"/>
  <c r="D864" i="123" s="1"/>
  <c r="E119" i="111"/>
  <c r="L242" i="72"/>
  <c r="P225" i="72"/>
  <c r="R225" i="72"/>
  <c r="Q18" i="72"/>
  <c r="E857" i="123" l="1"/>
  <c r="F132" i="111"/>
  <c r="F857" i="123"/>
  <c r="F869" i="123" s="1"/>
  <c r="D865" i="123"/>
  <c r="D869" i="123"/>
  <c r="E127" i="111"/>
  <c r="E131" i="111"/>
  <c r="F865" i="123"/>
  <c r="D871" i="123"/>
  <c r="E133" i="111"/>
  <c r="E126" i="111"/>
  <c r="E864" i="123" s="1"/>
  <c r="F119" i="111"/>
  <c r="F31" i="72"/>
  <c r="F30" i="72"/>
  <c r="E30" i="72"/>
  <c r="F29" i="72"/>
  <c r="E29" i="72"/>
  <c r="F28" i="72"/>
  <c r="F27" i="72"/>
  <c r="F26" i="72"/>
  <c r="N210" i="73"/>
  <c r="J274" i="72"/>
  <c r="K226" i="72"/>
  <c r="J113" i="72"/>
  <c r="M56" i="73"/>
  <c r="F24" i="72"/>
  <c r="F23" i="72"/>
  <c r="F22" i="72"/>
  <c r="P310" i="72"/>
  <c r="E24" i="72"/>
  <c r="E865" i="123" l="1"/>
  <c r="E869" i="123"/>
  <c r="F127" i="111"/>
  <c r="F131" i="111"/>
  <c r="E871" i="123"/>
  <c r="F133" i="111"/>
  <c r="F871" i="123" s="1"/>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O113" i="72" l="1"/>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J72" i="82"/>
  <c r="J78" i="82" s="1"/>
  <c r="D72" i="82"/>
  <c r="D78" i="82" s="1"/>
  <c r="D52" i="82"/>
  <c r="D54" i="82" s="1"/>
  <c r="K52" i="82"/>
  <c r="K54" i="82" s="1"/>
  <c r="F52" i="82"/>
  <c r="F54" i="82" s="1"/>
  <c r="I52" i="82"/>
  <c r="I54" i="82" s="1"/>
  <c r="K72" i="82"/>
  <c r="K78"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G57" i="86" l="1"/>
  <c r="G58" i="86" s="1"/>
  <c r="G60" i="86" s="1"/>
  <c r="G64" i="86" s="1"/>
  <c r="K24" i="86" s="1"/>
  <c r="O8" i="86"/>
  <c r="O14" i="86" s="1"/>
  <c r="O33" i="86" s="1"/>
  <c r="H63" i="86" s="1"/>
  <c r="C57" i="86"/>
  <c r="C58" i="86" s="1"/>
  <c r="C60" i="86" s="1"/>
  <c r="C64" i="86" s="1"/>
  <c r="K20" i="86" s="1"/>
  <c r="F75" i="82"/>
  <c r="F76" i="82" s="1"/>
  <c r="G66" i="82"/>
  <c r="G71" i="82"/>
  <c r="G74" i="82" s="1"/>
  <c r="H57" i="86" l="1"/>
  <c r="H58" i="86" s="1"/>
  <c r="H60" i="86" s="1"/>
  <c r="H64" i="86" s="1"/>
  <c r="K25" i="86" s="1"/>
  <c r="C86" i="90"/>
  <c r="F61" i="89"/>
  <c r="I66" i="82"/>
  <c r="H66" i="82"/>
  <c r="H71" i="82"/>
  <c r="H74" i="82" s="1"/>
  <c r="G75" i="82"/>
  <c r="G76" i="82" s="1"/>
  <c r="I71" i="82" l="1"/>
  <c r="I74" i="82" s="1"/>
  <c r="I75" i="82" s="1"/>
  <c r="I76" i="82" s="1"/>
  <c r="J66" i="82"/>
  <c r="H75" i="82"/>
  <c r="H76" i="82" s="1"/>
  <c r="J71" i="82" l="1"/>
  <c r="J74" i="82" s="1"/>
  <c r="J75" i="82" s="1"/>
  <c r="J76" i="82" s="1"/>
  <c r="K71" i="82" l="1"/>
  <c r="K74" i="82" s="1"/>
  <c r="K66" i="82"/>
  <c r="K75" i="82" l="1"/>
  <c r="K76" i="82" s="1"/>
  <c r="E15" i="72" l="1"/>
  <c r="E20" i="72" l="1"/>
  <c r="E21" i="72" l="1"/>
  <c r="E16" i="72" l="1"/>
  <c r="P233" i="72"/>
  <c r="P442" i="72" s="1"/>
  <c r="O6" i="72" l="1"/>
  <c r="L233" i="72"/>
  <c r="L191" i="72"/>
  <c r="AE45" i="72"/>
  <c r="AE63" i="72" s="1"/>
  <c r="AD45" i="72"/>
  <c r="AD63" i="72" s="1"/>
  <c r="Y45" i="72"/>
  <c r="Y63" i="72" s="1"/>
  <c r="X45" i="72"/>
  <c r="X63" i="72" s="1"/>
  <c r="P6" i="72"/>
  <c r="E19"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<sst xmlns="http://schemas.openxmlformats.org/spreadsheetml/2006/main" count="21400" uniqueCount="7738">
  <si>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</si>
  <si>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</si>
  <si>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</si>
  <si>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</si>
  <si>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</si>
  <si>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</si>
  <si>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</si>
  <si>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</si>
  <si>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</si>
  <si>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</si>
  <si>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</si>
  <si>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</si>
  <si>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</si>
  <si>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family val="2"/>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family val="2"/>
      </rPr>
      <t>For the best operability of this workbook, fill out both the blue cells and the Tabs/Parts in order of appearance.</t>
    </r>
    <r>
      <rPr>
        <b/>
        <i/>
        <sz val="11"/>
        <color rgb="FFFF0000"/>
        <rFont val="Arial Narrow"/>
        <family val="2"/>
      </rPr>
      <t xml:space="preserve"> </t>
    </r>
    <r>
      <rPr>
        <b/>
        <i/>
        <sz val="10"/>
        <color rgb="FFFF0000"/>
        <rFont val="Arial Narrow"/>
        <family val="2"/>
      </rPr>
      <t xml:space="preserve"> </t>
    </r>
    <r>
      <rPr>
        <b/>
        <sz val="10"/>
        <color rgb="FFFF0000"/>
        <rFont val="Arial Narrow"/>
        <family val="2"/>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</si>
  <si>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t>May XX, 2026</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</si>
  <si>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</si>
  <si>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</si>
  <si>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</si>
  <si>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</si>
  <si>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</si>
  <si>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</si>
  <si>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</si>
  <si>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</si>
  <si>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</si>
  <si>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</si>
  <si>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</si>
  <si>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</si>
  <si>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</si>
  <si>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family val="2"/>
      </rPr>
      <t>Determination Number</t>
    </r>
    <r>
      <rPr>
        <sz val="9"/>
        <color rgb="FFFF0000"/>
        <rFont val="Arial Narrow"/>
        <family val="2"/>
      </rPr>
      <t xml:space="preserve"> (if applies) - </t>
    </r>
    <r>
      <rPr>
        <b/>
        <u/>
        <sz val="9"/>
        <color rgb="FFFF0000"/>
        <rFont val="Arial Narrow"/>
        <family val="2"/>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</si>
  <si>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</si>
  <si>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</si>
  <si>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</si>
  <si>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</si>
  <si>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</si>
  <si>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</si>
  <si>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</si>
  <si>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</si>
  <si>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</si>
  <si>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</si>
  <si>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</si>
  <si>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</si>
  <si>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</si>
  <si>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</si>
  <si>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</si>
  <si>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</si>
  <si>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</si>
  <si>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</si>
  <si>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</si>
  <si>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</si>
  <si>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</si>
  <si>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</si>
  <si>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</si>
  <si>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</si>
  <si>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</si>
  <si>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</si>
  <si>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</si>
  <si>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</si>
  <si>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</si>
  <si>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</si>
  <si>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</si>
  <si>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</si>
  <si>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</si>
  <si>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</si>
  <si>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</si>
  <si>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</si>
  <si>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</si>
  <si>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</si>
  <si>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</si>
  <si>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</si>
  <si>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</si>
  <si>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</si>
  <si>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</si>
  <si>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</si>
  <si>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</si>
  <si>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</si>
  <si>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</si>
  <si>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</si>
  <si>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</si>
  <si>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</si>
  <si>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</si>
  <si>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</si>
  <si>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</si>
  <si>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</si>
  <si>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</si>
  <si>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</si>
  <si>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</si>
  <si>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</si>
  <si>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</si>
  <si>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</si>
  <si>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</si>
  <si>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</si>
  <si>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</si>
  <si>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</si>
  <si>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</si>
  <si>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</si>
  <si>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</si>
  <si>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</si>
  <si>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</si>
  <si>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</si>
  <si>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</si>
  <si>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</si>
  <si>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</si>
  <si>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</si>
  <si>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</si>
  <si>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</si>
  <si>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</si>
  <si>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</si>
  <si>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</si>
  <si>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</si>
  <si>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</si>
  <si>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</si>
  <si>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</si>
  <si>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</si>
  <si>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</si>
  <si>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</si>
  <si>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</si>
  <si>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</si>
  <si>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</si>
  <si>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</si>
  <si>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</si>
  <si>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</si>
  <si>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</si>
  <si>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</si>
  <si>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</si>
  <si>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</si>
  <si>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</si>
  <si>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</si>
  <si>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</si>
  <si>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</si>
  <si>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</si>
  <si>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</si>
  <si>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</si>
  <si>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</si>
  <si>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</si>
  <si>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</si>
  <si>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</si>
  <si>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</si>
  <si>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</si>
  <si>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</si>
  <si>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</si>
  <si>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</si>
  <si>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</si>
  <si>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</si>
  <si>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</si>
  <si>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</si>
  <si>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</si>
  <si>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</si>
  <si>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</si>
  <si>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</si>
  <si>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</si>
  <si>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</si>
  <si>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</si>
  <si>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</si>
  <si>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</si>
  <si>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</si>
  <si>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</si>
  <si>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</si>
  <si>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</si>
  <si>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</si>
  <si>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</si>
  <si>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</si>
  <si>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</si>
  <si>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</si>
  <si>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</si>
  <si>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</si>
  <si>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</si>
  <si>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</si>
  <si>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</si>
  <si>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</si>
  <si>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</si>
  <si>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</si>
  <si>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</si>
  <si>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</si>
  <si>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</si>
  <si>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</si>
  <si>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</si>
  <si>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</si>
  <si>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</si>
  <si>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</si>
  <si>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</si>
  <si>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</si>
  <si>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</si>
  <si>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</si>
  <si>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</si>
  <si>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</si>
  <si>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</si>
  <si>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</si>
  <si>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</si>
  <si>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</si>
  <si>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</si>
  <si>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</si>
  <si>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</si>
  <si>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</si>
  <si>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</si>
  <si>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</si>
  <si>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</si>
  <si>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</si>
  <si>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</si>
  <si>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</si>
  <si>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</si>
  <si>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</si>
  <si>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</si>
  <si>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</si>
  <si>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</si>
  <si>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</si>
  <si>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</si>
  <si>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</si>
  <si>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</si>
  <si>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</si>
  <si>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</si>
  <si>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</si>
  <si>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</si>
  <si>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</si>
  <si>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</si>
  <si>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</si>
  <si>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</si>
  <si>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</si>
  <si>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</si>
  <si>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</si>
  <si>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</si>
  <si>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</si>
  <si>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</si>
  <si>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</si>
  <si>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</si>
  <si>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</si>
  <si>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</si>
  <si>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</si>
  <si>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</si>
  <si>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</si>
  <si>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</si>
  <si>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</si>
  <si>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</si>
  <si>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</si>
  <si>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</si>
  <si>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</si>
  <si>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</si>
  <si>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</si>
  <si>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</si>
  <si>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</si>
  <si>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</si>
  <si>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</si>
  <si>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</si>
  <si>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</si>
  <si>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</si>
  <si>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</si>
  <si>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</si>
  <si>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</si>
  <si>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</si>
  <si>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</si>
  <si>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</si>
  <si>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</si>
  <si>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</si>
  <si>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</si>
  <si>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</si>
  <si>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</si>
  <si>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</si>
  <si>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</si>
  <si>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</si>
  <si>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</si>
  <si>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</si>
  <si>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</si>
  <si>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</si>
  <si>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</si>
  <si>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</si>
  <si>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</si>
  <si>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</si>
  <si>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</si>
  <si>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</si>
  <si>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</si>
  <si>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</si>
  <si>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</si>
  <si>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</si>
  <si>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</si>
  <si>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</si>
  <si>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</si>
  <si>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</si>
  <si>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</si>
  <si>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</si>
  <si>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</si>
  <si>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</si>
  <si>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</si>
  <si>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</si>
  <si>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</si>
  <si>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</si>
  <si>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</si>
  <si>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</si>
  <si>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</si>
  <si>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</si>
  <si>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</si>
  <si>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</si>
  <si>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</si>
  <si>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</si>
  <si>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</si>
  <si>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</si>
  <si>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</si>
  <si>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</si>
  <si>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</si>
  <si>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</si>
  <si>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</si>
  <si>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</si>
  <si>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</si>
  <si>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</si>
  <si>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</si>
  <si>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</si>
  <si>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</si>
  <si>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</si>
  <si>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</si>
  <si>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</si>
  <si>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</si>
  <si>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</si>
  <si>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</si>
  <si>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</si>
  <si>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</si>
  <si>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</si>
  <si>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</si>
  <si>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</si>
  <si>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</si>
  <si>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</si>
  <si>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</si>
  <si>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</si>
  <si>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</si>
  <si>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</si>
  <si>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</si>
  <si>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</si>
  <si>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</si>
  <si>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</si>
  <si>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</si>
  <si>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</si>
  <si>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</si>
  <si>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</si>
  <si>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</si>
  <si>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</si>
  <si>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</si>
  <si>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</si>
  <si>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</si>
  <si>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</si>
  <si>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</si>
  <si>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</si>
  <si>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</si>
  <si>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</si>
  <si>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</si>
  <si>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</si>
  <si>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</si>
  <si>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</si>
  <si>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</si>
  <si>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</si>
  <si>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</si>
  <si>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</si>
  <si>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</si>
  <si>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</si>
  <si>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</si>
  <si>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</si>
  <si>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</si>
  <si>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</si>
  <si>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</si>
  <si>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</si>
  <si>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</si>
  <si>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</si>
  <si>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</si>
  <si>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Specify Other HOME Source here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</si>
  <si>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</si>
  <si>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</si>
  <si>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</si>
  <si>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</si>
  <si>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</si>
  <si>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</si>
  <si>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</si>
  <si>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</si>
  <si>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</si>
  <si>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</si>
  <si>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</si>
  <si>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</si>
  <si>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</si>
  <si>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t>McKinney-Vento Homeless</t>
  </si>
  <si>
    <t>FHLB / AHP *</t>
  </si>
  <si>
    <r>
      <t xml:space="preserve">Specify </t>
    </r>
    <r>
      <rPr>
        <i/>
        <sz val="9"/>
        <color rgb="FFFF0000"/>
        <rFont val="Arial Narrow"/>
        <family val="2"/>
      </rPr>
      <t>Source/Administrator</t>
    </r>
    <r>
      <rPr>
        <sz val="9"/>
        <rFont val="Arial Narrow"/>
        <family val="2"/>
      </rPr>
      <t xml:space="preserve"> of Other STATE/LOCAL Funding here</t>
    </r>
  </si>
  <si>
    <t>Neigborhood Stabilization Program *</t>
  </si>
  <si>
    <t>NAHASDA</t>
  </si>
  <si>
    <t>Other PBRA*- Source:</t>
  </si>
  <si>
    <t>Specify Other PBRA Source here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</si>
  <si>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</si>
  <si>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</si>
  <si>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</si>
  <si>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</si>
  <si>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</si>
  <si>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</si>
  <si>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</si>
  <si>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</si>
  <si>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</si>
  <si>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</si>
  <si>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</si>
  <si>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</si>
  <si>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</si>
  <si>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</si>
  <si>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</si>
  <si>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</si>
  <si>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</si>
  <si>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</si>
  <si>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</si>
  <si>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</si>
  <si>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</si>
  <si>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</si>
  <si>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</si>
  <si>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</si>
  <si>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</si>
  <si>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</si>
  <si>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</si>
  <si>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</si>
  <si>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</si>
  <si>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</si>
  <si>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</si>
  <si>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</si>
  <si>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</si>
  <si>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</si>
  <si>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</si>
  <si>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</si>
  <si>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</si>
  <si>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</si>
  <si>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</si>
  <si>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</si>
  <si>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</si>
  <si>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</si>
  <si>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</si>
  <si>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</si>
  <si>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</si>
  <si>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</si>
  <si>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</si>
  <si>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</si>
  <si>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</si>
  <si>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</si>
  <si>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</si>
  <si>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</si>
  <si>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</si>
  <si>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</si>
  <si>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</si>
  <si>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</si>
  <si>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</si>
  <si>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</si>
  <si>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</si>
  <si>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</si>
  <si>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</si>
  <si>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</si>
  <si>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</si>
  <si>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</si>
  <si>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</si>
  <si>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</si>
  <si>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</si>
  <si>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</si>
  <si>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</si>
  <si>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</si>
  <si>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</si>
  <si>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</si>
  <si>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</si>
  <si>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</si>
  <si>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</si>
  <si>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</si>
  <si>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</si>
  <si>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</si>
  <si>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</si>
  <si>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</si>
  <si>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</si>
  <si>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</si>
  <si>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</si>
  <si>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</si>
  <si>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</si>
  <si>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</si>
  <si>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</si>
  <si>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</si>
  <si>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</si>
  <si>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</si>
  <si>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</si>
  <si>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</si>
  <si>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</si>
  <si>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</si>
  <si>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</si>
  <si>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</si>
  <si>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</si>
  <si>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</si>
  <si>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</si>
  <si>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</si>
  <si>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</si>
  <si>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</si>
  <si>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</si>
  <si>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</si>
  <si>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</si>
  <si>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</si>
  <si>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</si>
  <si>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</si>
  <si>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</si>
  <si>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</si>
  <si>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</si>
  <si>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</si>
  <si>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</si>
  <si>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</si>
  <si>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</si>
  <si>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</si>
  <si>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</si>
  <si>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</si>
  <si>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</si>
  <si>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</si>
  <si>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</si>
  <si>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</si>
  <si>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</si>
  <si>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</si>
  <si>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</si>
  <si>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</si>
  <si>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</si>
  <si>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</si>
  <si>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</si>
  <si>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</si>
  <si>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</si>
  <si>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</si>
  <si>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</si>
  <si>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</si>
  <si>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</si>
  <si>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</si>
  <si>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</si>
  <si>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</si>
  <si>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</si>
  <si>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</si>
  <si>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</si>
  <si>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</si>
  <si>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</si>
  <si>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</si>
  <si>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</si>
  <si>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</si>
  <si>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</si>
  <si>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</si>
  <si>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</si>
  <si>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</si>
  <si>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</si>
  <si>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</si>
  <si>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</si>
  <si>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</si>
  <si>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</si>
  <si>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</si>
  <si>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</si>
  <si>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</si>
  <si>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</si>
  <si>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</si>
  <si>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</si>
  <si>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</si>
  <si>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</si>
  <si>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</si>
  <si>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</si>
  <si>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</si>
  <si>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</si>
  <si>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</si>
  <si>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</si>
  <si>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</si>
  <si>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</si>
  <si>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</si>
  <si>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</si>
  <si>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</si>
  <si>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</si>
  <si>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</si>
  <si>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</si>
  <si>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</si>
  <si>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</si>
  <si>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</si>
  <si>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</si>
  <si>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</si>
  <si>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</si>
  <si>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</si>
  <si>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</si>
  <si>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</si>
  <si>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</si>
  <si>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</si>
  <si>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</si>
  <si>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</si>
  <si>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</si>
  <si>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</si>
  <si>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</si>
  <si>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</si>
  <si>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</si>
  <si>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</si>
  <si>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</si>
  <si>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</si>
  <si>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</si>
  <si>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</si>
  <si>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</si>
  <si>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</si>
  <si>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</si>
  <si>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</si>
  <si>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</si>
  <si>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</si>
  <si>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</si>
  <si>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</si>
  <si>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</si>
  <si>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</si>
  <si>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</si>
  <si>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</si>
  <si>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</si>
  <si>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</si>
  <si>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</si>
  <si>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</si>
  <si>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</si>
  <si>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</si>
  <si>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</si>
  <si>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</si>
  <si>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</si>
  <si>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</si>
  <si>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</si>
  <si>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</si>
  <si>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</si>
  <si>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</si>
  <si>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</si>
  <si>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</si>
  <si>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</si>
  <si>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</si>
  <si>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</si>
  <si>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</si>
  <si>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</si>
  <si>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</si>
  <si>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</si>
  <si>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</si>
  <si>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</si>
  <si>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</si>
  <si>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</si>
  <si>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</si>
  <si>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</si>
  <si>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</si>
  <si>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</si>
  <si>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</si>
  <si>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</si>
  <si>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</si>
  <si>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</si>
  <si>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</si>
  <si>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</si>
  <si>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</si>
  <si>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</si>
  <si>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</si>
  <si>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</si>
  <si>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</si>
  <si>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</si>
  <si>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</si>
  <si>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</si>
  <si>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</si>
  <si>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</si>
  <si>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</si>
  <si>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</si>
  <si>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</si>
  <si>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</si>
  <si>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</si>
  <si>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</si>
  <si>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</si>
  <si>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</si>
  <si>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</si>
  <si>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</si>
  <si>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</si>
  <si>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</si>
  <si>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</si>
  <si>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</si>
  <si>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</si>
  <si>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</si>
  <si>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</si>
  <si>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</si>
  <si>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</si>
  <si>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</si>
  <si>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</si>
  <si>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</si>
  <si>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</si>
  <si>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</si>
  <si>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</si>
  <si>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</si>
  <si>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</si>
  <si>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</si>
  <si>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</si>
  <si>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</si>
  <si>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</si>
  <si>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</si>
  <si>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</si>
  <si>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</si>
  <si>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</si>
  <si>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</si>
  <si>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</si>
  <si>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</si>
  <si>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</si>
  <si>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</si>
  <si>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</si>
  <si>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</si>
  <si>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</si>
  <si>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</si>
  <si>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</si>
  <si>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</si>
  <si>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</si>
  <si>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</si>
  <si>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</si>
  <si>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</si>
  <si>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</si>
  <si>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</si>
  <si>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</si>
  <si>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</si>
  <si>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</si>
  <si>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</si>
  <si>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</si>
  <si>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</si>
  <si>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</si>
  <si>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</si>
  <si>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</si>
  <si>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</si>
  <si>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</si>
  <si>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</si>
  <si>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</si>
  <si>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</si>
  <si>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</si>
  <si>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</si>
  <si>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</si>
  <si>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</si>
  <si>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</si>
  <si>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</si>
  <si>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</si>
  <si>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</si>
  <si>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</si>
  <si>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</si>
  <si>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</si>
  <si>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</si>
  <si>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&lt;&lt; Select Category of Eligibility&gt;&gt;</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</si>
  <si>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</si>
  <si>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</si>
  <si>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</si>
  <si>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</si>
  <si>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</si>
  <si>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</si>
  <si>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</si>
  <si>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</si>
  <si>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</si>
  <si>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</si>
  <si>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</si>
  <si>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</si>
  <si>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</si>
  <si>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</si>
  <si>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</si>
  <si>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</si>
  <si>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</si>
  <si>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</si>
  <si>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</si>
  <si>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</si>
  <si>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</si>
  <si>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</si>
  <si>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</si>
  <si>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</si>
  <si>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</si>
  <si>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</si>
  <si>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</si>
  <si>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</si>
  <si>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</si>
  <si>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</si>
  <si>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</si>
  <si>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</si>
  <si>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</si>
  <si>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</si>
  <si>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</si>
  <si>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</si>
  <si>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</si>
  <si>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</si>
  <si>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</si>
  <si>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</si>
  <si>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</si>
  <si>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</si>
  <si>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</si>
  <si>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</si>
  <si>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</si>
  <si>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</si>
  <si>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</si>
  <si>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</si>
  <si>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</si>
  <si>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</si>
  <si>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</si>
  <si>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</si>
  <si>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</si>
  <si>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</si>
  <si>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</si>
  <si>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</si>
  <si>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</si>
  <si>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</si>
  <si>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</si>
  <si>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</si>
  <si>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</si>
  <si>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</si>
  <si>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</si>
  <si>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</si>
  <si>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</si>
  <si>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</si>
  <si>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</si>
  <si>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</si>
  <si>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</si>
  <si>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</si>
  <si>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</si>
  <si>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</si>
  <si>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</si>
  <si>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</si>
  <si>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</si>
  <si>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</si>
  <si>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</si>
  <si>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</si>
  <si>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</si>
  <si>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</si>
  <si>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</si>
  <si>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</si>
  <si>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</si>
  <si>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</si>
  <si>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</si>
  <si>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</si>
  <si>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</si>
  <si>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</si>
  <si>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</si>
  <si>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</si>
  <si>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</si>
  <si>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</si>
  <si>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</si>
  <si>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</si>
  <si>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</si>
  <si>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</si>
  <si>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</si>
  <si>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</si>
  <si>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</si>
  <si>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</si>
  <si>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</si>
  <si>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</si>
  <si>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</si>
  <si>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</si>
  <si>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</si>
  <si>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</si>
  <si>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</si>
  <si>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</si>
  <si>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</si>
  <si>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</si>
  <si>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</si>
  <si>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</si>
  <si>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</si>
  <si>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</si>
  <si>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</si>
  <si>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</si>
  <si>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</si>
  <si>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</si>
  <si>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</si>
  <si>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</si>
  <si>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</si>
  <si>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</si>
  <si>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</si>
  <si>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</si>
  <si>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</si>
  <si>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</si>
  <si>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</si>
  <si>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</si>
  <si>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</si>
  <si>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</si>
  <si>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</si>
  <si>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</si>
  <si>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</si>
  <si>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</si>
  <si>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</si>
  <si>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</si>
  <si>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</si>
  <si>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</si>
  <si>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</si>
  <si>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</si>
  <si>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</si>
  <si>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</si>
  <si>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</si>
  <si>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</si>
  <si>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</si>
  <si>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</si>
  <si>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</si>
  <si>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</si>
  <si>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</si>
  <si>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</si>
  <si>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</si>
  <si>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</si>
  <si>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</si>
  <si>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</si>
  <si>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</si>
  <si>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</si>
  <si>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</si>
  <si>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</si>
  <si>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</si>
  <si>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</si>
  <si>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</si>
  <si>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</si>
  <si>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</si>
  <si>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</si>
  <si>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</si>
  <si>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</si>
  <si>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</si>
  <si>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</si>
  <si>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</si>
  <si>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</si>
  <si>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</si>
  <si>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</si>
  <si>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</si>
  <si>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</si>
  <si>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</si>
  <si>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</si>
  <si>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</si>
  <si>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</si>
  <si>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</si>
  <si>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</si>
  <si>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</si>
  <si>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</si>
  <si>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</si>
  <si>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</si>
  <si>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</si>
  <si>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</si>
  <si>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</si>
  <si>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</si>
  <si>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</si>
  <si>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</si>
  <si>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</si>
  <si>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</si>
  <si>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</si>
  <si>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</si>
  <si>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</si>
  <si>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</si>
  <si>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</si>
  <si>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</si>
  <si>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</si>
  <si>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</si>
  <si>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</si>
  <si>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</si>
  <si>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</si>
  <si>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</si>
  <si>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</si>
  <si>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</si>
  <si>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</si>
  <si>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</si>
  <si>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</si>
  <si>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</si>
  <si>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</si>
  <si>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</si>
  <si>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</si>
  <si>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</si>
  <si>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</si>
  <si>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</si>
  <si>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</si>
  <si>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</si>
  <si>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</si>
  <si>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</si>
  <si>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</si>
  <si>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</si>
  <si>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</si>
  <si>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</si>
  <si>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</si>
  <si>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</si>
  <si>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</si>
  <si>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</si>
  <si>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</si>
  <si>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</si>
  <si>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</si>
  <si>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</si>
  <si>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</si>
  <si>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</si>
  <si>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</si>
  <si>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</si>
  <si>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</si>
  <si>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</si>
  <si>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</si>
  <si>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</si>
  <si>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</si>
  <si>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</si>
  <si>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</si>
  <si>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</si>
  <si>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</si>
  <si>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</si>
  <si>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</si>
  <si>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</si>
  <si>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</si>
  <si>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</si>
  <si>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</si>
  <si>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</si>
  <si>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</si>
  <si>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</si>
  <si>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</si>
  <si>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</si>
  <si>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</si>
  <si>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</si>
  <si>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</si>
  <si>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</si>
  <si>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</si>
  <si>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</si>
  <si>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</si>
  <si>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</si>
  <si>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</si>
  <si>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</si>
  <si>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</si>
  <si>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</si>
  <si>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</si>
  <si>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</si>
  <si>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</si>
  <si>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</si>
  <si>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</si>
  <si>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</si>
  <si>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</si>
  <si>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</si>
  <si>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</si>
  <si>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</si>
  <si>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</si>
  <si>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</si>
  <si>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</si>
  <si>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</si>
  <si>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</si>
  <si>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</si>
  <si>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</si>
  <si>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</si>
  <si>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</si>
  <si>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</si>
  <si>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</si>
  <si>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</si>
  <si>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</si>
  <si>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</si>
  <si>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</si>
  <si>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</si>
  <si>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</si>
  <si>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</si>
  <si>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</si>
  <si>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</si>
  <si>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</si>
  <si>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</si>
  <si>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</si>
  <si>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</si>
  <si>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</si>
  <si>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</si>
  <si>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</si>
  <si>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</si>
  <si>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</si>
  <si>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</si>
  <si>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</si>
  <si>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</si>
  <si>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</si>
  <si>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</si>
  <si>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</si>
  <si>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</si>
  <si>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</si>
  <si>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</si>
  <si>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</si>
  <si>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</si>
  <si>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</si>
  <si>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</si>
  <si>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</si>
  <si>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</si>
  <si>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</si>
  <si>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</si>
  <si>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</si>
  <si>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</si>
  <si>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</si>
  <si>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</si>
  <si>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</si>
  <si>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</si>
  <si>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</si>
  <si>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</si>
  <si>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</si>
  <si>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</si>
  <si>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</si>
  <si>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</si>
  <si>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</si>
  <si>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</si>
  <si>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</si>
  <si>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</si>
  <si>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</si>
  <si>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</si>
  <si>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</si>
  <si>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</si>
  <si>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</si>
  <si>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</si>
  <si>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</si>
  <si>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</si>
  <si>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</si>
  <si>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</si>
  <si>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</si>
  <si>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</si>
  <si>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</si>
  <si>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</si>
  <si>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</si>
  <si>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</si>
  <si>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</si>
  <si>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</si>
  <si>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</si>
  <si>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</si>
  <si>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</si>
  <si>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</si>
  <si>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</si>
  <si>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</si>
  <si>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</si>
  <si>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</si>
  <si>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</si>
  <si>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</si>
  <si>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</si>
  <si>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</si>
  <si>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</si>
  <si>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</si>
  <si>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</si>
  <si>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</si>
  <si>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</si>
  <si>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&lt;Select&gt;</t>
  </si>
  <si>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</si>
  <si>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</si>
  <si>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</si>
  <si>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</si>
  <si>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</si>
  <si>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</si>
  <si>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</si>
  <si>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</si>
  <si>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</si>
  <si>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</si>
  <si>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</si>
  <si>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</si>
  <si>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</si>
  <si>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</si>
  <si>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</si>
  <si>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</si>
  <si>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</si>
  <si>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</si>
  <si>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</si>
  <si>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</si>
  <si>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</si>
  <si>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</si>
  <si>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</si>
  <si>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</si>
  <si>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</si>
  <si>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</si>
  <si>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</si>
  <si>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</si>
  <si>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</si>
  <si>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</si>
  <si>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</si>
  <si>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</si>
  <si>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</si>
  <si>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</si>
  <si>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</si>
  <si>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</si>
  <si>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</si>
  <si>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</si>
  <si>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</si>
  <si>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</si>
  <si>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</si>
  <si>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</si>
  <si>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</si>
  <si>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</si>
  <si>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</si>
  <si>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</si>
  <si>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</si>
  <si>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</si>
  <si>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</si>
  <si>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</si>
  <si>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</si>
  <si>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</si>
  <si>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</si>
  <si>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</si>
  <si>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</si>
  <si>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</si>
  <si>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</si>
  <si>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</si>
  <si>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</si>
  <si>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</si>
  <si>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</si>
  <si>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</si>
  <si>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</si>
  <si>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</si>
  <si>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</si>
  <si>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</si>
  <si>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</si>
  <si>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</si>
  <si>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</si>
  <si>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</si>
  <si>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</si>
  <si>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</si>
  <si>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</si>
  <si>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</si>
  <si>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</si>
  <si>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</si>
  <si>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</si>
  <si>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</si>
  <si>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</si>
  <si>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</si>
  <si>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</si>
  <si>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</si>
  <si>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</si>
  <si>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</si>
  <si>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</si>
  <si>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</si>
  <si>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</si>
  <si>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</si>
  <si>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</si>
  <si>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</si>
  <si>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</si>
  <si>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</si>
  <si>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</si>
  <si>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</si>
  <si>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</si>
  <si>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</si>
  <si>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</si>
  <si>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</si>
  <si>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</si>
  <si>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</si>
  <si>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</si>
  <si>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</si>
  <si>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</si>
  <si>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</si>
  <si>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</si>
  <si>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</si>
  <si>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</si>
  <si>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</si>
  <si>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</si>
  <si>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</si>
  <si>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</si>
  <si>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</si>
  <si>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</si>
  <si>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</si>
  <si>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</si>
  <si>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</si>
  <si>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</si>
  <si>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</si>
  <si>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</si>
  <si>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</si>
  <si>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</si>
  <si>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</si>
  <si>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</si>
  <si>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</si>
  <si>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</si>
  <si>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</si>
  <si>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</si>
  <si>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</si>
  <si>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</si>
  <si>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</si>
  <si>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</si>
  <si>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</si>
  <si>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</si>
  <si>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</si>
  <si>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</si>
  <si>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</si>
  <si>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</si>
  <si>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</si>
  <si>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</si>
  <si>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</si>
  <si>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</si>
  <si>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</si>
  <si>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</si>
  <si>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</si>
  <si>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</si>
  <si>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</si>
  <si>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</si>
  <si>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</si>
  <si>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</si>
  <si>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</si>
  <si>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</si>
  <si>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</si>
  <si>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</si>
  <si>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</si>
  <si>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</si>
  <si>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</si>
  <si>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</si>
  <si>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</si>
  <si>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</si>
  <si>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</si>
  <si>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</si>
  <si>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</si>
  <si>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</si>
  <si>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</si>
  <si>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</si>
  <si>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</si>
  <si>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</si>
  <si>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</si>
  <si>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</si>
  <si>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</si>
  <si>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</si>
  <si>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</si>
  <si>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</si>
  <si>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</si>
  <si>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</si>
  <si>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</si>
  <si>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</si>
  <si>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</si>
  <si>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</si>
  <si>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</si>
  <si>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</si>
  <si>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</si>
  <si>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</si>
  <si>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</si>
  <si>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</si>
  <si>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</si>
  <si>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</si>
  <si>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</si>
  <si>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</si>
  <si>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</si>
  <si>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</si>
  <si>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</si>
  <si>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</si>
  <si>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</si>
  <si>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</si>
  <si>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</si>
  <si>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</si>
  <si>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</si>
  <si>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</si>
  <si>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</si>
  <si>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</si>
  <si>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</si>
  <si>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</si>
  <si>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</si>
  <si>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</si>
  <si>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</si>
  <si>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</si>
  <si>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</si>
  <si>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</si>
  <si>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</si>
  <si>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</si>
  <si>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</si>
  <si>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</si>
  <si>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</si>
  <si>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</si>
  <si>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</si>
  <si>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</si>
  <si>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</si>
  <si>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</si>
  <si>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</si>
  <si>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</si>
  <si>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</si>
  <si>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</si>
  <si>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</si>
  <si>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</si>
  <si>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</si>
  <si>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</si>
  <si>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</si>
  <si>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</si>
  <si>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</si>
  <si>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</si>
  <si>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</si>
  <si>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</si>
  <si>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</si>
  <si>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</si>
  <si>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</si>
  <si>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</si>
  <si>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</si>
  <si>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</si>
  <si>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</si>
  <si>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</si>
  <si>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</si>
  <si>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</si>
  <si>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</si>
  <si>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</si>
  <si>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</si>
  <si>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</si>
  <si>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</si>
  <si>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</si>
  <si>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</si>
  <si>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</si>
  <si>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</si>
  <si>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</si>
  <si>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</si>
  <si>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</si>
  <si>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</si>
  <si>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</si>
  <si>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</si>
  <si>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</si>
  <si>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</si>
  <si>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</si>
  <si>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</si>
  <si>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</si>
  <si>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</si>
  <si>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</si>
  <si>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</si>
  <si>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</si>
  <si>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</si>
  <si>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</si>
  <si>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</si>
  <si>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</si>
  <si>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</si>
  <si>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</si>
  <si>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</si>
  <si>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</si>
  <si>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</si>
  <si>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</si>
  <si>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</si>
  <si>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</si>
  <si>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</si>
  <si>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</si>
  <si>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</si>
  <si>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</si>
  <si>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</si>
  <si>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</si>
  <si>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</si>
  <si>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</si>
  <si>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</si>
  <si>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</si>
  <si>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</si>
  <si>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</si>
  <si>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</si>
  <si>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</si>
  <si>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</si>
  <si>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</si>
  <si>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</si>
  <si>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</si>
  <si>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</si>
  <si>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</si>
  <si>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</si>
  <si>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</si>
  <si>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</si>
  <si>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</si>
  <si>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</si>
  <si>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</si>
  <si>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</si>
  <si>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</si>
  <si>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</si>
  <si>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</si>
  <si>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</si>
  <si>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</si>
  <si>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</si>
  <si>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</si>
  <si>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</si>
  <si>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</si>
  <si>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</si>
  <si>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</si>
  <si>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</si>
  <si>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</si>
  <si>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</si>
  <si>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</si>
  <si>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</si>
  <si>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</si>
  <si>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</si>
  <si>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</si>
  <si>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</si>
  <si>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</si>
  <si>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</si>
  <si>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</si>
  <si>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</si>
  <si>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</si>
  <si>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</si>
  <si>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</si>
  <si>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</si>
  <si>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</si>
  <si>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</si>
  <si>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</si>
  <si>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</si>
  <si>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</si>
  <si>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</si>
  <si>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</si>
  <si>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</si>
  <si>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</si>
  <si>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</si>
  <si>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</si>
  <si>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</si>
  <si>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</si>
  <si>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</si>
  <si>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</si>
  <si>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</si>
  <si>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</si>
  <si>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</si>
  <si>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</si>
  <si>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</si>
  <si>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</si>
  <si>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</si>
  <si>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</si>
  <si>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</si>
  <si>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</si>
  <si>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</si>
  <si>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</si>
  <si>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</si>
  <si>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</si>
  <si>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</si>
  <si>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</si>
  <si>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</si>
  <si>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</si>
  <si>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</si>
  <si>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</si>
  <si>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</si>
  <si>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</si>
  <si>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</si>
  <si>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</si>
  <si>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</si>
  <si>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</si>
  <si>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</si>
  <si>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</si>
  <si>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</si>
  <si>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</si>
  <si>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</si>
  <si>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</si>
  <si>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</si>
  <si>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</si>
  <si>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</si>
  <si>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</si>
  <si>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</si>
  <si>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</si>
  <si>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</si>
  <si>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</si>
  <si>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</si>
  <si>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</si>
  <si>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</si>
  <si>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</si>
  <si>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</si>
  <si>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</si>
  <si>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</si>
  <si>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</si>
  <si>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</si>
  <si>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</si>
  <si>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</si>
  <si>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</si>
  <si>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</si>
  <si>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</si>
  <si>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</si>
  <si>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</si>
  <si>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</si>
  <si>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</si>
  <si>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</si>
  <si>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</si>
  <si>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</si>
  <si>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</si>
  <si>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</si>
  <si>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</si>
  <si>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</si>
  <si>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</si>
  <si>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</si>
  <si>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</si>
  <si>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</si>
  <si>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(If DCA Pre-Approved amenity not listed in Architectural Manual, describe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</si>
  <si>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</si>
  <si>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</si>
  <si>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</si>
  <si>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</si>
  <si>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</si>
  <si>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</si>
  <si>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</si>
  <si>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</si>
  <si>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</si>
  <si>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</si>
  <si>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</si>
  <si>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</si>
  <si>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</si>
  <si>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</si>
  <si>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</si>
  <si>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</si>
  <si>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</si>
  <si>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</si>
  <si>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</si>
  <si>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family val="2"/>
      </rPr>
      <t xml:space="preserve">In accordance with the 2026 Accessibility Manual, the Mobility-Disabled and Hearing and Sight-Impaired Units commited to under XVI. Accessibility Standards, B. Mobility and Sensory-Impairments are </t>
    </r>
    <r>
      <rPr>
        <u/>
        <sz val="11"/>
        <color rgb="FF000000"/>
        <rFont val="Arial"/>
        <family val="2"/>
      </rPr>
      <t>in addition to</t>
    </r>
    <r>
      <rPr>
        <sz val="11"/>
        <color rgb="FF000000"/>
        <rFont val="Arial"/>
        <family val="2"/>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</si>
  <si>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</si>
  <si>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</si>
  <si>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</si>
  <si>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</si>
  <si>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</si>
  <si>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</si>
  <si>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</si>
  <si>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</si>
  <si>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</si>
  <si>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</si>
  <si>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</si>
  <si>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</si>
  <si>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</si>
  <si>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</si>
  <si>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</si>
  <si>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</si>
  <si>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</si>
  <si>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</si>
  <si>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</si>
  <si>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</si>
  <si>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</si>
  <si>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</si>
  <si>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</si>
  <si>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</si>
  <si>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</si>
  <si>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</si>
  <si>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</si>
  <si>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</si>
  <si>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</si>
  <si>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</si>
  <si>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</si>
  <si>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</si>
  <si>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</si>
  <si>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</si>
  <si>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</si>
  <si>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</si>
  <si>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</si>
  <si>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</si>
  <si>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</si>
  <si>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</si>
  <si>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</si>
  <si>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</si>
  <si>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</si>
  <si>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</si>
  <si>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</si>
  <si>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</si>
  <si>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</si>
  <si>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</si>
  <si>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</si>
  <si>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</si>
  <si>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</si>
  <si>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</si>
  <si>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</si>
  <si>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</si>
  <si>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</si>
  <si>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</si>
  <si>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</si>
  <si>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</si>
  <si>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</si>
  <si>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</si>
  <si>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</si>
  <si>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</si>
  <si>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</si>
  <si>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</si>
  <si>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</si>
  <si>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</si>
  <si>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</si>
  <si>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</si>
  <si>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</si>
  <si>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</si>
  <si>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</si>
  <si>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</si>
  <si>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</si>
  <si>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</si>
  <si>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</si>
  <si>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</si>
  <si>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</si>
  <si>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</si>
  <si>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</si>
  <si>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</si>
  <si>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</si>
  <si>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</si>
  <si>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</si>
  <si>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</si>
  <si>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</si>
  <si>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</si>
  <si>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</si>
  <si>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</si>
  <si>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</si>
  <si>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</si>
  <si>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</si>
  <si>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</si>
  <si>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</si>
  <si>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</si>
  <si>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</si>
  <si>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</si>
  <si>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</si>
  <si>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</si>
  <si>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</si>
  <si>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</si>
  <si>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</si>
  <si>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</si>
  <si>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</si>
  <si>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</si>
  <si>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</si>
  <si>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</si>
  <si>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</si>
  <si>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</si>
  <si>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</si>
  <si>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</si>
  <si>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</si>
  <si>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</si>
  <si>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</si>
  <si>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</si>
  <si>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</si>
  <si>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</si>
  <si>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</si>
  <si>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</si>
  <si>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</si>
  <si>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</si>
  <si>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</si>
  <si>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</si>
  <si>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</si>
  <si>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</si>
  <si>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</si>
  <si>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</si>
  <si>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</si>
  <si>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</si>
  <si>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</si>
  <si>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</si>
  <si>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</si>
  <si>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</si>
  <si>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</si>
  <si>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</si>
  <si>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</si>
  <si>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</si>
  <si>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</si>
  <si>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</si>
  <si>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</si>
  <si>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</si>
  <si>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</si>
  <si>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</si>
  <si>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</si>
  <si>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</si>
  <si>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</si>
  <si>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</si>
  <si>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</si>
  <si>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</si>
  <si>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</si>
  <si>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</si>
  <si>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</si>
  <si>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</si>
  <si>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</si>
  <si>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</si>
  <si>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</si>
  <si>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</si>
  <si>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</si>
  <si>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</si>
  <si>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</si>
  <si>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</si>
  <si>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</si>
  <si>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</si>
  <si>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</si>
  <si>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</si>
  <si>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</si>
  <si>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</si>
  <si>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</si>
  <si>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</si>
  <si>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</si>
  <si>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</si>
  <si>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</si>
  <si>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</si>
  <si>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</si>
  <si>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</si>
  <si>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</si>
  <si>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</si>
  <si>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</si>
  <si>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</si>
  <si>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</si>
  <si>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</si>
  <si>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</si>
  <si>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</si>
  <si>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</si>
  <si>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</si>
  <si>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</si>
  <si>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</si>
  <si>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</si>
  <si>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</si>
  <si>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</si>
  <si>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</si>
  <si>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</si>
  <si>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</si>
  <si>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</si>
  <si>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</si>
  <si>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</si>
  <si>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</si>
  <si>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</si>
  <si>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</si>
  <si>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</si>
  <si>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</si>
  <si>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</si>
  <si>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</si>
  <si>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</si>
  <si>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</si>
  <si>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</si>
  <si>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</si>
  <si>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</si>
  <si>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</si>
  <si>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</si>
  <si>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</si>
  <si>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</si>
  <si>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</si>
  <si>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</si>
  <si>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</si>
  <si>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</si>
  <si>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</si>
  <si>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</si>
  <si>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</si>
  <si>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</si>
  <si>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</si>
  <si>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</si>
  <si>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</si>
  <si>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</si>
  <si>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</si>
  <si>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</si>
  <si>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</si>
  <si>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</si>
  <si>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</si>
  <si>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</si>
  <si>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</si>
  <si>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</si>
  <si>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</si>
  <si>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</si>
  <si>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</si>
  <si>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</si>
  <si>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</si>
  <si>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</si>
  <si>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</si>
  <si>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</si>
  <si>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</si>
  <si>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</si>
  <si>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</si>
  <si>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</si>
  <si>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</si>
  <si>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</si>
  <si>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</si>
  <si>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</si>
  <si>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</si>
  <si>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</si>
  <si>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</si>
  <si>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</si>
  <si>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</si>
  <si>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</si>
  <si>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</si>
  <si>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</si>
  <si>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</si>
  <si>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</si>
  <si>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</si>
  <si>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</si>
  <si>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</si>
  <si>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</si>
  <si>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</si>
  <si>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</si>
  <si>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</si>
  <si>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</si>
  <si>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</si>
  <si>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</si>
  <si>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</si>
  <si>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</si>
  <si>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</si>
  <si>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</si>
  <si>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</si>
  <si>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</si>
  <si>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</si>
  <si>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</si>
  <si>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</si>
  <si>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</si>
  <si>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</si>
  <si>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</si>
  <si>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</si>
  <si>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</si>
  <si>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</si>
  <si>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</si>
  <si>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</si>
  <si>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</si>
  <si>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</si>
  <si>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</si>
  <si>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</si>
  <si>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</si>
  <si>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</si>
  <si>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</si>
  <si>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</si>
  <si>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</si>
  <si>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</si>
  <si>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</si>
  <si>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</si>
  <si>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</si>
  <si>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</si>
  <si>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</si>
  <si>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</si>
  <si>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</si>
  <si>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</si>
  <si>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</si>
  <si>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</si>
  <si>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</si>
  <si>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</si>
  <si>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</si>
  <si>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</si>
  <si>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</si>
  <si>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</si>
  <si>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</si>
  <si>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</si>
  <si>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</si>
  <si>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</si>
  <si>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</si>
  <si>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</si>
  <si>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</si>
  <si>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</si>
  <si>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</si>
  <si>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</si>
  <si>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</si>
  <si>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</si>
  <si>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</si>
  <si>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</si>
  <si>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</si>
  <si>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</si>
  <si>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</si>
  <si>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</si>
  <si>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</si>
  <si>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</si>
  <si>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</si>
  <si>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</si>
  <si>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</si>
  <si>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</si>
  <si>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</si>
  <si>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</si>
  <si>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</si>
  <si>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</si>
  <si>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</si>
  <si>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</si>
  <si>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</si>
  <si>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</si>
  <si>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</si>
  <si>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</si>
  <si>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</si>
  <si>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</si>
  <si>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</si>
  <si>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</si>
  <si>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</si>
  <si>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</si>
  <si>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</si>
  <si>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&lt;Page # from Plan&gt;</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</si>
  <si>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</si>
  <si>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</si>
  <si>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</si>
  <si>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</si>
  <si>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</si>
  <si>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</si>
  <si>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</si>
  <si>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</si>
  <si>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</si>
  <si>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</si>
  <si>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</si>
  <si>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</si>
  <si>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</si>
  <si>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</si>
  <si>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</si>
  <si>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</si>
  <si>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</si>
  <si>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</si>
  <si>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</si>
  <si>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</si>
  <si>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</si>
  <si>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</si>
  <si>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</si>
  <si>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</si>
  <si>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</si>
  <si>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</si>
  <si>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</si>
  <si>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</si>
  <si>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</si>
  <si>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</si>
  <si>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</si>
  <si>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</si>
  <si>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</si>
  <si>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</si>
  <si>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</si>
  <si>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</si>
  <si>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</si>
  <si>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</si>
  <si>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</si>
  <si>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</si>
  <si>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</si>
  <si>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</si>
  <si>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</si>
  <si>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</si>
  <si>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</si>
  <si>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</si>
  <si>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</si>
  <si>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</si>
  <si>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</si>
  <si>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</si>
  <si>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</si>
  <si>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</si>
  <si>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</si>
  <si>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</si>
  <si>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</si>
  <si>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</si>
  <si>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</si>
  <si>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</si>
  <si>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</si>
  <si>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</si>
  <si>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</si>
  <si>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</si>
  <si>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</si>
  <si>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</si>
  <si>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</si>
  <si>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</si>
  <si>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</si>
  <si>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</si>
  <si>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</si>
  <si>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</si>
  <si>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</si>
  <si>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</si>
  <si>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</si>
  <si>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</si>
  <si>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</si>
  <si>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</si>
  <si>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</si>
  <si>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</si>
  <si>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</si>
  <si>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</si>
  <si>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</si>
  <si>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</si>
  <si>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Enter GICH Community Name (applicable to A and B)</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</si>
  <si>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</si>
  <si>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</si>
  <si>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</si>
  <si>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</si>
  <si>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</si>
  <si>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</si>
  <si>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</si>
  <si>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</si>
  <si>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</si>
  <si>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</si>
  <si>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</si>
  <si>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</si>
  <si>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</si>
  <si>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</si>
  <si>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</si>
  <si>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</si>
  <si>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</si>
  <si>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</si>
  <si>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</si>
  <si>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</si>
  <si>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</si>
  <si>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</si>
  <si>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</si>
  <si>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</si>
  <si>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</si>
  <si>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</si>
  <si>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</si>
  <si>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</si>
  <si>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</si>
  <si>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</si>
  <si>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</si>
  <si>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</si>
  <si>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</si>
  <si>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</si>
  <si>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</si>
  <si>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</si>
  <si>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</si>
  <si>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</si>
  <si>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family val="2"/>
      </rPr>
      <t xml:space="preserve">Problem with Score Total? </t>
    </r>
    <r>
      <rPr>
        <sz val="10"/>
        <color rgb="FFFF000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</si>
  <si>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</si>
  <si>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</si>
  <si>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</si>
  <si>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</si>
  <si>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</si>
  <si>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</si>
  <si>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</si>
  <si>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</si>
  <si>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</si>
  <si>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</si>
  <si>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</si>
  <si>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</si>
  <si>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</si>
  <si>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</si>
  <si>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</si>
  <si>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</si>
  <si>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</si>
  <si>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</si>
  <si>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</si>
  <si>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</si>
  <si>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</si>
  <si>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</si>
  <si>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</si>
  <si>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</si>
  <si>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</si>
  <si>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</si>
  <si>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</si>
  <si>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</si>
  <si>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</si>
  <si>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</si>
  <si>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</si>
  <si>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</si>
  <si>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</si>
  <si>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</si>
  <si>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</si>
  <si>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</si>
  <si>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</si>
  <si>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</si>
  <si>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</si>
  <si>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</si>
  <si>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</si>
  <si>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</si>
  <si>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</si>
  <si>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</si>
  <si>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</si>
  <si>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</si>
  <si>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</si>
  <si>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</si>
  <si>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</si>
  <si>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</si>
  <si>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</si>
  <si>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</si>
  <si>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</si>
  <si>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</si>
  <si>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</si>
  <si>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</si>
  <si>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</si>
  <si>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</si>
  <si>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</si>
  <si>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</si>
  <si>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</si>
  <si>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</si>
  <si>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</si>
  <si>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</si>
  <si>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</si>
  <si>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</si>
  <si>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</si>
  <si>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</si>
  <si>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</si>
  <si>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</si>
  <si>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</si>
  <si>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</si>
  <si>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</si>
  <si>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</si>
  <si>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</si>
  <si>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</si>
  <si>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</si>
  <si>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</si>
  <si>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</si>
  <si>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</si>
  <si>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</si>
  <si>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</si>
  <si>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</si>
  <si>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</si>
  <si>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</si>
  <si>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</si>
  <si>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</si>
  <si>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</si>
  <si>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</si>
  <si>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</si>
  <si>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</si>
  <si>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</si>
  <si>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</si>
  <si>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</si>
  <si>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</si>
  <si>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</si>
  <si>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</si>
  <si>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</si>
  <si>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</si>
  <si>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</si>
  <si>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</si>
  <si>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</si>
  <si>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</si>
  <si>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</si>
  <si>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</si>
  <si>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</si>
  <si>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</si>
  <si>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</si>
  <si>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</si>
  <si>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</si>
  <si>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</si>
  <si>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</si>
  <si>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</si>
  <si>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</si>
  <si>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</si>
  <si>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</si>
  <si>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</si>
  <si>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</si>
  <si>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</si>
  <si>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</si>
  <si>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</si>
  <si>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</si>
  <si>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</si>
  <si>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</si>
  <si>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</si>
  <si>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</si>
  <si>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</si>
  <si>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</si>
  <si>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</si>
  <si>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</si>
  <si>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</si>
  <si>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</si>
  <si>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</si>
  <si>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</si>
  <si>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</si>
  <si>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</si>
  <si>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</si>
  <si>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</si>
  <si>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</si>
  <si>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</si>
  <si>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</si>
  <si>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</si>
  <si>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</si>
  <si>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</si>
  <si>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</si>
  <si>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</si>
  <si>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</si>
  <si>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</si>
  <si>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</si>
  <si>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</si>
  <si>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</si>
  <si>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</si>
  <si>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</si>
  <si>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</si>
  <si>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</si>
  <si>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</si>
  <si>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</si>
  <si>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</si>
  <si>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</si>
  <si>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</si>
  <si>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</si>
  <si>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</si>
  <si>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</si>
  <si>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</si>
  <si>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</si>
  <si>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</si>
  <si>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</si>
  <si>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</si>
  <si>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</si>
  <si>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</si>
  <si>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</si>
  <si>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</si>
  <si>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</si>
  <si>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</si>
  <si>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</si>
  <si>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</si>
  <si>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</si>
  <si>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</si>
  <si>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</si>
  <si>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</si>
  <si>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</si>
  <si>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</si>
  <si>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</si>
  <si>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</si>
  <si>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</si>
  <si>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</si>
  <si>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</si>
  <si>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</si>
  <si>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</si>
  <si>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</si>
  <si>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</si>
  <si>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</si>
  <si>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</si>
  <si>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</si>
  <si>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</si>
  <si>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</si>
  <si>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</si>
  <si>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</si>
  <si>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</si>
  <si>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</si>
  <si>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</si>
  <si>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</si>
  <si>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</si>
  <si>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</si>
  <si>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</si>
  <si>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</si>
  <si>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</si>
  <si>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</si>
  <si>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</si>
  <si>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</si>
  <si>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</si>
  <si>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</si>
  <si>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</si>
  <si>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</si>
  <si>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</si>
  <si>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</si>
  <si>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</si>
  <si>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</si>
  <si>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</si>
  <si>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</si>
  <si>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</si>
  <si>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</si>
  <si>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</si>
  <si>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</si>
  <si>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</si>
  <si>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</si>
  <si>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</si>
  <si>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</si>
  <si>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</si>
  <si>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</si>
  <si>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</si>
  <si>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</si>
  <si>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</si>
  <si>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</si>
  <si>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</si>
  <si>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</si>
  <si>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</si>
  <si>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</si>
  <si>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</si>
  <si>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</si>
  <si>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</si>
  <si>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</si>
  <si>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</si>
  <si>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</si>
  <si>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</si>
  <si>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</si>
  <si>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</si>
  <si>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</si>
  <si>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</si>
  <si>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</si>
  <si>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</si>
  <si>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</si>
  <si>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</si>
  <si>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</si>
  <si>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</si>
  <si>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</si>
  <si>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</si>
  <si>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</si>
  <si>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</si>
  <si>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</si>
  <si>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</si>
  <si>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</si>
  <si>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</si>
  <si>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</si>
  <si>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</si>
  <si>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</si>
  <si>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</si>
  <si>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</si>
  <si>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</si>
  <si>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</si>
  <si>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</si>
  <si>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</si>
  <si>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</si>
  <si>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</si>
  <si>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</si>
  <si>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</si>
  <si>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</si>
  <si>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</si>
  <si>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</si>
  <si>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</si>
  <si>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</si>
  <si>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</si>
  <si>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</si>
  <si>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</si>
  <si>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</si>
  <si>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</si>
  <si>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</si>
  <si>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</si>
  <si>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</si>
  <si>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</si>
  <si>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</si>
  <si>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</si>
  <si>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</si>
  <si>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</si>
  <si>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</si>
  <si>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</si>
  <si>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</si>
  <si>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</si>
  <si>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</si>
  <si>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</si>
  <si>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</si>
  <si>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</si>
  <si>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</si>
  <si>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</si>
  <si>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</si>
  <si>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</si>
  <si>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</si>
  <si>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</si>
  <si>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</si>
  <si>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</si>
  <si>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</si>
  <si>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</si>
  <si>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</si>
  <si>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</si>
  <si>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</si>
  <si>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</si>
  <si>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</si>
  <si>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</si>
  <si>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</si>
  <si>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</si>
  <si>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</si>
  <si>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</si>
  <si>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</si>
  <si>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</si>
  <si>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</si>
  <si>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</si>
  <si>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</si>
  <si>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</si>
  <si>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</si>
  <si>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</si>
  <si>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</si>
  <si>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</si>
  <si>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</si>
  <si>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</si>
  <si>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</si>
  <si>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</si>
  <si>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</si>
  <si>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</si>
  <si>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</si>
  <si>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</si>
  <si>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</si>
  <si>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</si>
  <si>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</si>
  <si>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</si>
  <si>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</si>
  <si>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</si>
  <si>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</si>
  <si>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</si>
  <si>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</si>
  <si>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</si>
  <si>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</si>
  <si>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</si>
  <si>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</si>
  <si>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</si>
  <si>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</si>
  <si>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</si>
  <si>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</si>
  <si>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</si>
  <si>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</si>
  <si>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</si>
  <si>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</si>
  <si>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</si>
  <si>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</si>
  <si>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</si>
  <si>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</si>
  <si>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</si>
  <si>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</si>
  <si>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</si>
  <si>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</si>
  <si>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</si>
  <si>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</si>
  <si>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</si>
  <si>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</si>
  <si>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</si>
  <si>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</si>
  <si>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</si>
  <si>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</si>
  <si>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</si>
  <si>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</si>
  <si>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</si>
  <si>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</si>
  <si>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</si>
  <si>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</si>
  <si>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</si>
  <si>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</si>
  <si>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</si>
  <si>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</si>
  <si>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</si>
  <si>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</si>
  <si>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</si>
  <si>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</si>
  <si>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</si>
  <si>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</si>
  <si>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</si>
  <si>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</si>
  <si>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</si>
  <si>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</si>
  <si>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</si>
  <si>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</si>
  <si>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</si>
  <si>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</si>
  <si>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</si>
  <si>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</si>
  <si>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</si>
  <si>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</si>
  <si>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</si>
  <si>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</si>
  <si>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</si>
  <si>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</si>
  <si>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</si>
  <si>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</si>
  <si>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</si>
  <si>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</si>
  <si>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</si>
  <si>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</si>
  <si>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</si>
  <si>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</si>
  <si>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</si>
  <si>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</si>
  <si>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</si>
  <si>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</si>
  <si>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</si>
  <si>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</si>
  <si>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</si>
  <si>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</si>
  <si>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</si>
  <si>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</si>
  <si>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</si>
  <si>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</si>
  <si>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</si>
  <si>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</si>
  <si>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</si>
  <si>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</si>
  <si>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</si>
  <si>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</si>
  <si>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</si>
  <si>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</si>
  <si>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</si>
  <si>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</si>
  <si>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</si>
  <si>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</si>
  <si>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</si>
  <si>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</si>
  <si>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</si>
  <si>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</si>
  <si>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</si>
  <si>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</si>
  <si>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</si>
  <si>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</si>
  <si>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</si>
  <si>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</si>
  <si>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</si>
  <si>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</si>
  <si>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</si>
  <si>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</si>
  <si>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</si>
  <si>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</si>
  <si>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</si>
  <si>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</si>
  <si>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</si>
  <si>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</si>
  <si>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</si>
  <si>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</si>
  <si>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</si>
  <si>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</si>
  <si>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</si>
  <si>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</si>
  <si>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</si>
  <si>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</si>
  <si>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</si>
  <si>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</si>
  <si>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</si>
  <si>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</si>
  <si>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</si>
  <si>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</si>
  <si>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</si>
  <si>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</si>
  <si>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</si>
  <si>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</si>
  <si>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</si>
  <si>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</si>
  <si>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</si>
  <si>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</si>
  <si>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</si>
  <si>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</si>
  <si>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</si>
  <si>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</si>
  <si>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</si>
  <si>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</si>
  <si>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</si>
  <si>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</si>
  <si>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</si>
  <si>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</si>
  <si>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</si>
  <si>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</si>
  <si>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</si>
  <si>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</si>
  <si>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</si>
  <si>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</si>
  <si>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</si>
  <si>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</si>
  <si>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</si>
  <si>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</si>
  <si>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</si>
  <si>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</si>
  <si>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</si>
  <si>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</si>
  <si>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</si>
  <si>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</si>
  <si>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</si>
  <si>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</si>
  <si>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</si>
  <si>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</si>
  <si>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</si>
  <si>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</si>
  <si>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</si>
  <si>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</si>
  <si>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</si>
  <si>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</si>
  <si>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</si>
  <si>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</si>
  <si>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</si>
  <si>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</si>
  <si>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</si>
  <si>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</si>
  <si>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</si>
  <si>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</si>
  <si>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</si>
  <si>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</si>
  <si>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</si>
  <si>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</si>
  <si>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</si>
  <si>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</si>
  <si>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</si>
  <si>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</si>
  <si>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</si>
  <si>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</si>
  <si>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</si>
  <si>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</si>
  <si>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</si>
  <si>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</si>
  <si>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</si>
  <si>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</si>
  <si>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</si>
  <si>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</si>
  <si>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</si>
  <si>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</si>
  <si>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</si>
  <si>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</si>
  <si>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</si>
  <si>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</si>
  <si>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</si>
  <si>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</si>
  <si>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</si>
  <si>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</si>
  <si>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</si>
  <si>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</si>
  <si>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</si>
  <si>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</si>
  <si>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</si>
  <si>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</si>
  <si>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</si>
  <si>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</si>
  <si>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</si>
  <si>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</si>
  <si>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</si>
  <si>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</si>
  <si>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</si>
  <si>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</si>
  <si>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</si>
  <si>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</si>
  <si>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</si>
  <si>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</si>
  <si>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</si>
  <si>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</si>
  <si>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</si>
  <si>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</si>
  <si>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</si>
  <si>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</si>
  <si>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</si>
  <si>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</si>
  <si>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</si>
  <si>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</si>
  <si>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</si>
  <si>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</si>
  <si>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</si>
  <si>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</si>
  <si>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</si>
  <si>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</si>
  <si>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</si>
  <si>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</si>
  <si>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</si>
  <si>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</si>
  <si>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</si>
  <si>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</si>
  <si>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</si>
  <si>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</si>
  <si>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</si>
  <si>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</si>
  <si>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</si>
  <si>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</si>
  <si>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</si>
  <si>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</si>
  <si>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</si>
  <si>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</si>
  <si>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</si>
  <si>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</si>
  <si>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</si>
  <si>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</si>
  <si>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</si>
  <si>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</si>
  <si>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</si>
  <si>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</si>
  <si>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</si>
  <si>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</si>
  <si>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</si>
  <si>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</si>
  <si>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</si>
  <si>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</si>
  <si>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</si>
  <si>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</si>
  <si>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</si>
  <si>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</si>
  <si>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</si>
  <si>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</si>
  <si>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</si>
  <si>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</si>
  <si>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</si>
  <si>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</si>
  <si>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</si>
  <si>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</si>
  <si>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</si>
  <si>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</si>
  <si>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</si>
  <si>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</si>
  <si>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</si>
  <si>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</si>
  <si>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</si>
  <si>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</si>
  <si>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</si>
  <si>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</si>
  <si>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</si>
  <si>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</si>
  <si>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</si>
  <si>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</si>
  <si>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</si>
  <si>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</si>
  <si>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</si>
  <si>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</si>
  <si>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</si>
  <si>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</si>
  <si>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</si>
  <si>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</si>
  <si>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</si>
  <si>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</si>
  <si>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</si>
  <si>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</si>
  <si>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</si>
  <si>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</si>
  <si>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</si>
  <si>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</si>
  <si>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</si>
  <si>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</si>
  <si>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</si>
  <si>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</si>
  <si>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</si>
  <si>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</si>
  <si>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</si>
  <si>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</si>
  <si>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</si>
  <si>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</si>
  <si>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</si>
  <si>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</si>
  <si>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</si>
  <si>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</si>
  <si>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</si>
  <si>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</si>
  <si>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</si>
  <si>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</si>
  <si>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</si>
  <si>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</si>
  <si>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</si>
  <si>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</si>
  <si>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</si>
  <si>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</si>
  <si>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</si>
  <si>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</si>
  <si>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</si>
  <si>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</si>
  <si>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</si>
  <si>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</si>
  <si>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</si>
  <si>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</si>
  <si>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</si>
  <si>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</si>
  <si>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</si>
  <si>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</si>
  <si>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</si>
  <si>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</si>
  <si>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</si>
  <si>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</si>
  <si>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</si>
  <si>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</si>
  <si>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</si>
  <si>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</si>
  <si>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</si>
  <si>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</si>
  <si>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</si>
  <si>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</si>
  <si>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</si>
  <si>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</si>
  <si>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</si>
  <si>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</si>
  <si>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</si>
  <si>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</si>
  <si>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</si>
  <si>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</si>
  <si>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</si>
  <si>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</si>
  <si>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</si>
  <si>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</si>
  <si>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</si>
  <si>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</si>
  <si>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</si>
  <si>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</si>
  <si>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</si>
  <si>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</si>
  <si>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</si>
  <si>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</si>
  <si>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</si>
  <si>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</si>
  <si>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</si>
  <si>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</si>
  <si>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</si>
  <si>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</si>
  <si>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</si>
  <si>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</si>
  <si>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</si>
  <si>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</si>
  <si>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</si>
  <si>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</si>
  <si>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</si>
  <si>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</si>
  <si>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</si>
  <si>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</si>
  <si>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</si>
  <si>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</si>
  <si>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</si>
  <si>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</si>
  <si>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</si>
  <si>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</si>
  <si>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</si>
  <si>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</si>
  <si>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</si>
  <si>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</si>
  <si>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</si>
  <si>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</si>
  <si>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</si>
  <si>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</si>
  <si>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</si>
  <si>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</si>
  <si>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</si>
  <si>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</si>
  <si>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</si>
  <si>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</si>
  <si>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</si>
  <si>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</si>
  <si>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</si>
  <si>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</si>
  <si>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</si>
  <si>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</si>
  <si>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</si>
  <si>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</si>
  <si>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</si>
  <si>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</si>
  <si>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</si>
  <si>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</si>
  <si>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</si>
  <si>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</si>
  <si>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</si>
  <si>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</si>
  <si>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</si>
  <si>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</si>
  <si>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</si>
  <si>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</si>
  <si>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</si>
  <si>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</si>
  <si>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</si>
  <si>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</si>
  <si>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</si>
  <si>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</si>
  <si>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</si>
  <si>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</si>
  <si>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</si>
  <si>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</si>
  <si>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</si>
  <si>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</si>
  <si>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</si>
  <si>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</si>
  <si>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</si>
  <si>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</si>
  <si>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</si>
  <si>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</si>
  <si>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</si>
  <si>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</si>
  <si>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</si>
  <si>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</si>
  <si>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</si>
  <si>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</si>
  <si>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</si>
  <si>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</si>
  <si>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</si>
  <si>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</si>
  <si>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</si>
  <si>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</si>
  <si>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</si>
  <si>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</si>
  <si>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</si>
  <si>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</si>
  <si>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</si>
  <si>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</si>
  <si>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</si>
  <si>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</si>
  <si>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</si>
  <si>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</si>
  <si>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</si>
  <si>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</si>
  <si>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</si>
  <si>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</si>
  <si>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</si>
  <si>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</si>
  <si>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</si>
  <si>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</si>
  <si>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</si>
  <si>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</si>
  <si>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</si>
  <si>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</si>
  <si>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</si>
  <si>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</si>
  <si>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</si>
  <si>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</si>
  <si>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</si>
  <si>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</si>
  <si>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</si>
  <si>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</si>
  <si>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</si>
  <si>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</si>
  <si>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</si>
  <si>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</si>
  <si>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</si>
  <si>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</si>
  <si>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</si>
  <si>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</si>
  <si>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</si>
  <si>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</si>
  <si>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</si>
  <si>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</si>
  <si>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</si>
  <si>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</si>
  <si>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</si>
  <si>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</si>
  <si>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</si>
  <si>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</si>
  <si>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</si>
  <si>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</si>
  <si>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</si>
  <si>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</si>
  <si>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</si>
  <si>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</si>
  <si>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</si>
  <si>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</si>
  <si>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</si>
  <si>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</si>
  <si>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</si>
  <si>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</si>
  <si>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</si>
  <si>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</si>
  <si>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</si>
  <si>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</si>
  <si>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</si>
  <si>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</si>
  <si>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</si>
  <si>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</si>
  <si>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</si>
  <si>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</si>
  <si>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</si>
  <si>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</si>
  <si>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</si>
  <si>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</si>
  <si>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</si>
  <si>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</si>
  <si>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</si>
  <si>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</si>
  <si>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</si>
  <si>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</si>
  <si>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</si>
  <si>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</si>
  <si>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</si>
  <si>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</si>
  <si>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</si>
  <si>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</si>
  <si>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</si>
  <si>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</si>
  <si>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</si>
  <si>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</si>
  <si>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</si>
  <si>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</si>
  <si>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</si>
  <si>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</si>
  <si>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</si>
  <si>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</si>
  <si>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</si>
  <si>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</si>
  <si>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</si>
  <si>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</si>
  <si>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</si>
  <si>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</si>
  <si>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</si>
  <si>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</si>
  <si>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</si>
  <si>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</si>
  <si>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</si>
  <si>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</si>
  <si>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</si>
  <si>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</si>
  <si>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</si>
  <si>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</si>
  <si>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</si>
  <si>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</si>
  <si>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</si>
  <si>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</si>
  <si>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</si>
  <si>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</si>
  <si>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</si>
  <si>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</si>
  <si>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</si>
  <si>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</si>
  <si>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</si>
  <si>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</si>
  <si>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</si>
  <si>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</si>
  <si>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</si>
  <si>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</si>
  <si>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</si>
  <si>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</si>
  <si>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</si>
  <si>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</si>
  <si>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</si>
  <si>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</si>
  <si>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</si>
  <si>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</si>
  <si>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</si>
  <si>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</si>
  <si>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</si>
  <si>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</si>
  <si>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</si>
  <si>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</si>
  <si>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</si>
  <si>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</si>
  <si>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</si>
  <si>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</si>
  <si>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</si>
  <si>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</si>
  <si>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</si>
  <si>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</si>
  <si>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</si>
  <si>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</si>
  <si>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</si>
  <si>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</si>
  <si>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</si>
  <si>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</si>
  <si>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</si>
  <si>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</si>
  <si>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</si>
  <si>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</si>
  <si>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</si>
  <si>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</si>
  <si>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</si>
  <si>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</si>
  <si>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</si>
  <si>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</si>
  <si>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</si>
  <si>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</si>
  <si>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</si>
  <si>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</si>
  <si>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</si>
  <si>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</si>
  <si>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</si>
  <si>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</si>
  <si>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</si>
  <si>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</si>
  <si>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</si>
  <si>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</si>
  <si>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</si>
  <si>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</si>
  <si>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</si>
  <si>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</si>
  <si>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</si>
  <si>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</si>
  <si>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</si>
  <si>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</si>
  <si>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</si>
  <si>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</si>
  <si>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</si>
  <si>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</si>
  <si>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</si>
  <si>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</si>
  <si>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</si>
  <si>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</si>
  <si>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</si>
  <si>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</si>
  <si>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</si>
  <si>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</si>
  <si>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</si>
  <si>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</si>
  <si>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</si>
  <si>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</si>
  <si>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</si>
  <si>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</si>
  <si>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</si>
  <si>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</si>
  <si>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</si>
  <si>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</si>
  <si>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</si>
  <si>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</si>
  <si>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</si>
  <si>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</si>
  <si>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</si>
  <si>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</si>
  <si>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</si>
  <si>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</si>
  <si>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</si>
  <si>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</si>
  <si>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</si>
  <si>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</si>
  <si>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</si>
  <si>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</si>
  <si>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</si>
  <si>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</si>
  <si>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</si>
  <si>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</si>
  <si>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</si>
  <si>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</si>
  <si>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</si>
  <si>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</si>
  <si>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</si>
  <si>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</si>
  <si>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</si>
  <si>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</si>
  <si>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</si>
  <si>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</si>
  <si>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</si>
  <si>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</si>
  <si>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</si>
  <si>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</si>
  <si>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</si>
  <si>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</si>
  <si>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</si>
  <si>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</si>
  <si>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</si>
  <si>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</si>
  <si>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</si>
  <si>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</si>
  <si>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</si>
  <si>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</si>
  <si>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</si>
  <si>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</si>
  <si>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</si>
  <si>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</si>
  <si>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</si>
  <si>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</si>
  <si>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</si>
  <si>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</si>
  <si>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</si>
  <si>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</si>
  <si>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</si>
  <si>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</si>
  <si>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</si>
  <si>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</si>
  <si>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</si>
  <si>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</si>
  <si>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</si>
  <si>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</si>
  <si>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</si>
  <si>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</si>
  <si>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</si>
  <si>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</si>
  <si>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</si>
  <si>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</si>
  <si>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</si>
  <si>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</si>
  <si>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</si>
  <si>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</si>
  <si>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</si>
  <si>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</si>
  <si>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</si>
  <si>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</si>
  <si>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</si>
  <si>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</si>
  <si>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</si>
  <si>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</si>
  <si>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</si>
  <si>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</si>
  <si>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</si>
  <si>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</si>
  <si>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</si>
  <si>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</si>
  <si>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</si>
  <si>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</si>
  <si>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</si>
  <si>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</si>
  <si>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</si>
  <si>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</si>
  <si>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</si>
  <si>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</si>
  <si>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</si>
  <si>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</si>
  <si>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</si>
  <si>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</si>
  <si>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</si>
  <si>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</si>
  <si>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</si>
  <si>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</si>
  <si>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</si>
  <si>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</si>
  <si>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</si>
  <si>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</si>
  <si>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</si>
  <si>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</si>
  <si>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</si>
  <si>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</si>
  <si>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</si>
  <si>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</si>
  <si>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</si>
  <si>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</si>
  <si>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</si>
  <si>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</si>
  <si>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</si>
  <si>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</si>
  <si>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</si>
  <si>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</si>
  <si>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</si>
  <si>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</si>
  <si>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</si>
  <si>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</si>
  <si>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</si>
  <si>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</si>
  <si>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</si>
  <si>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</si>
  <si>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</si>
  <si>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</si>
  <si>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</si>
  <si>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</si>
  <si>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</si>
  <si>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</si>
  <si>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</si>
  <si>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</si>
  <si>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</si>
  <si>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</si>
  <si>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</si>
  <si>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</si>
  <si>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</si>
  <si>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</si>
  <si>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</si>
  <si>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</si>
  <si>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</si>
  <si>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</si>
  <si>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</si>
  <si>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</si>
  <si>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</si>
  <si>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</si>
  <si>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</si>
  <si>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</si>
  <si>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</si>
  <si>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</si>
  <si>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</si>
  <si>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</si>
  <si>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</si>
  <si>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</si>
  <si>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</si>
  <si>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</si>
  <si>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</si>
  <si>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</si>
  <si>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</si>
  <si>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</si>
  <si>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</si>
  <si>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</si>
  <si>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</si>
  <si>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</si>
  <si>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</si>
  <si>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</si>
  <si>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</si>
  <si>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</si>
  <si>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</si>
  <si>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</si>
  <si>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</si>
  <si>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</si>
  <si>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</si>
  <si>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</si>
  <si>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</si>
  <si>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</si>
  <si>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</si>
  <si>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</si>
  <si>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</si>
  <si>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</si>
  <si>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</si>
  <si>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</si>
  <si>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</si>
  <si>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</si>
  <si>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</si>
  <si>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</si>
  <si>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</si>
  <si>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</si>
  <si>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</si>
  <si>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</si>
  <si>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</si>
  <si>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</si>
  <si>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</si>
  <si>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</si>
  <si>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</si>
  <si>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</si>
  <si>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</si>
  <si>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</si>
  <si>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</si>
  <si>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</si>
  <si>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</si>
  <si>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</si>
  <si>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</si>
  <si>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</si>
  <si>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</si>
  <si>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</si>
  <si>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</si>
  <si>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</si>
  <si>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</si>
  <si>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</si>
  <si>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</si>
  <si>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</si>
  <si>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</si>
  <si>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</si>
  <si>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</si>
  <si>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</si>
  <si>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</si>
  <si>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</si>
  <si>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</si>
  <si>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</si>
  <si>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</si>
  <si>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</si>
  <si>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</si>
  <si>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</si>
  <si>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</si>
  <si>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</si>
  <si>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</si>
  <si>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</si>
  <si>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</si>
  <si>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</si>
  <si>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</si>
  <si>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</si>
  <si>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</si>
  <si>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</si>
  <si>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</si>
  <si>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</si>
  <si>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</si>
  <si>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</si>
  <si>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</si>
  <si>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</si>
  <si>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</si>
  <si>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</si>
  <si>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</si>
  <si>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</si>
  <si>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</si>
  <si>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</si>
  <si>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</si>
  <si>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</si>
  <si>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</si>
  <si>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</si>
  <si>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</si>
  <si>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</si>
  <si>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</si>
  <si>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</si>
  <si>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</si>
  <si>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</si>
  <si>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</si>
  <si>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</si>
  <si>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</si>
  <si>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</si>
  <si>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</si>
  <si>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</si>
  <si>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</si>
  <si>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</si>
  <si>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</si>
  <si>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</si>
  <si>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</si>
  <si>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</si>
  <si>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</si>
  <si>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</si>
  <si>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</si>
  <si>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</si>
  <si>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</si>
  <si>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</si>
  <si>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</si>
  <si>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</si>
  <si>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</si>
  <si>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</si>
  <si>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</si>
  <si>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</si>
  <si>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</si>
  <si>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</si>
  <si>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</si>
  <si>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</si>
  <si>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</si>
  <si>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</si>
  <si>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</si>
  <si>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</si>
  <si>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</si>
  <si>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</si>
  <si>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</si>
  <si>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</si>
  <si>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</si>
  <si>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</si>
  <si>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</si>
  <si>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</si>
  <si>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</si>
  <si>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</si>
  <si>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</si>
  <si>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</si>
  <si>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</si>
  <si>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</si>
  <si>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</si>
  <si>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</si>
  <si>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</si>
  <si>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</si>
  <si>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</si>
  <si>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</si>
  <si>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</si>
  <si>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</si>
  <si>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</si>
  <si>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</si>
  <si>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</si>
  <si>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</si>
  <si>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</si>
  <si>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</si>
  <si>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</si>
  <si>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</si>
  <si>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</si>
  <si>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</si>
  <si>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</si>
  <si>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</si>
  <si>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</si>
  <si>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</si>
  <si>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</si>
  <si>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</si>
  <si>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</si>
  <si>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</si>
  <si>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</si>
  <si>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</si>
  <si>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</si>
  <si>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</si>
  <si>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</si>
  <si>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</si>
  <si>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</si>
  <si>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</si>
  <si>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</si>
  <si>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</si>
  <si>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</si>
  <si>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</si>
  <si>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</si>
  <si>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</si>
  <si>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</si>
  <si>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</si>
  <si>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</si>
  <si>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</si>
  <si>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</si>
  <si>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</si>
  <si>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</si>
  <si>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</si>
  <si>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</si>
  <si>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</si>
  <si>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</si>
  <si>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</si>
  <si>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</si>
  <si>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</si>
  <si>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</si>
  <si>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</si>
  <si>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</si>
  <si>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</si>
  <si>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</si>
  <si>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</si>
  <si>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</si>
  <si>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</si>
  <si>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</si>
  <si>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</si>
  <si>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</si>
  <si>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</si>
  <si>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</si>
  <si>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</si>
  <si>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</si>
  <si>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</si>
  <si>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</si>
  <si>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</si>
  <si>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</si>
  <si>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</si>
  <si>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</si>
  <si>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</si>
  <si>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</si>
  <si>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</si>
  <si>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</si>
  <si>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</si>
  <si>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</si>
  <si>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</si>
  <si>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</si>
  <si>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</si>
  <si>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</si>
  <si>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</si>
  <si>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</si>
  <si>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</si>
  <si>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</si>
  <si>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</si>
  <si>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</si>
  <si>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</si>
  <si>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</si>
  <si>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</si>
  <si>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</si>
  <si>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</si>
  <si>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</si>
  <si>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</si>
  <si>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</si>
  <si>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</si>
  <si>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</si>
  <si>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</si>
  <si>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</si>
  <si>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</si>
  <si>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</si>
  <si>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</si>
  <si>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</si>
  <si>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</si>
  <si>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</si>
  <si>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</si>
  <si>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</si>
  <si>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</si>
  <si>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</si>
  <si>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</si>
  <si>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</si>
  <si>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</si>
  <si>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</si>
  <si>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</si>
  <si>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</si>
  <si>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</si>
  <si>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</si>
  <si>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</si>
  <si>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</si>
  <si>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</si>
  <si>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</si>
  <si>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</si>
  <si>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</si>
  <si>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</si>
  <si>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</si>
  <si>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</si>
  <si>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</si>
  <si>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</si>
  <si>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</si>
  <si>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</si>
  <si>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</si>
  <si>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</si>
  <si>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</si>
  <si>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</si>
  <si>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</si>
  <si>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</si>
  <si>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</si>
  <si>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</si>
  <si>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</si>
  <si>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</si>
  <si>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</si>
  <si>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</si>
  <si>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</si>
  <si>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</si>
  <si>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</si>
  <si>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</si>
  <si>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</si>
  <si>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</si>
  <si>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</si>
  <si>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</si>
  <si>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</si>
  <si>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</si>
  <si>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</si>
  <si>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</si>
  <si>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</si>
  <si>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</si>
  <si>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</si>
  <si>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</si>
  <si>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</si>
  <si>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</si>
  <si>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</si>
  <si>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</si>
  <si>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</si>
  <si>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</si>
  <si>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</si>
  <si>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</si>
  <si>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</si>
  <si>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</si>
  <si>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</si>
  <si>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</si>
  <si>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</si>
  <si>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</si>
  <si>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</si>
  <si>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</si>
  <si>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</si>
  <si>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</si>
  <si>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</si>
  <si>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</si>
  <si>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</si>
  <si>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</si>
  <si>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</si>
  <si>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</si>
  <si>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</si>
  <si>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</si>
  <si>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</si>
  <si>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</si>
  <si>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</si>
  <si>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</si>
  <si>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</si>
  <si>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</si>
  <si>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</si>
  <si>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</si>
  <si>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</si>
  <si>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</si>
  <si>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</si>
  <si>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</si>
  <si>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</si>
  <si>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</si>
  <si>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</si>
  <si>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</si>
  <si>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</si>
  <si>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</si>
  <si>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</si>
  <si>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</si>
  <si>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</si>
  <si>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</si>
  <si>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</si>
  <si>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</si>
  <si>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</si>
  <si>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</si>
  <si>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</si>
  <si>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</si>
  <si>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</si>
  <si>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</si>
  <si>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</si>
  <si>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</si>
  <si>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</si>
  <si>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</si>
  <si>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</si>
  <si>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</si>
  <si>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</si>
  <si>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</si>
  <si>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</si>
  <si>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</si>
  <si>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</si>
  <si>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</si>
  <si>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</si>
  <si>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</si>
  <si>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</si>
  <si>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</si>
  <si>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</si>
  <si>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</si>
  <si>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</si>
  <si>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</si>
  <si>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</si>
  <si>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</si>
  <si>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</si>
  <si>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</si>
  <si>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</si>
  <si>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</si>
  <si>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</si>
  <si>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</si>
  <si>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</si>
  <si>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</si>
  <si>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</si>
  <si>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</si>
  <si>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</si>
  <si>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</si>
  <si>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</si>
  <si>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</si>
  <si>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</si>
  <si>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</si>
  <si>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</si>
  <si>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</si>
  <si>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</si>
  <si>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</si>
  <si>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</si>
  <si>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</si>
  <si>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</si>
  <si>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</si>
  <si>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</si>
  <si>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</si>
  <si>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</si>
  <si>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</si>
  <si>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</si>
  <si>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</si>
  <si>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</si>
  <si>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</si>
  <si>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</si>
  <si>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</si>
  <si>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</si>
  <si>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</si>
  <si>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</si>
  <si>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</si>
  <si>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</si>
  <si>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</si>
  <si>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</si>
  <si>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</si>
  <si>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</si>
  <si>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</si>
  <si>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</si>
  <si>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</si>
  <si>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</si>
  <si>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</si>
  <si>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</si>
  <si>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</si>
  <si>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</si>
  <si>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</si>
  <si>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</si>
  <si>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</si>
  <si>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</si>
  <si>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</si>
  <si>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</si>
  <si>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</si>
  <si>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</si>
  <si>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</si>
  <si>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</si>
  <si>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</si>
  <si>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</si>
  <si>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</si>
  <si>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</si>
  <si>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</si>
  <si>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</si>
  <si>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</si>
  <si>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</si>
  <si>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</si>
  <si>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</si>
  <si>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</si>
  <si>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</si>
  <si>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</si>
  <si>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</si>
  <si>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</si>
  <si>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</si>
  <si>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</si>
  <si>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</si>
  <si>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</si>
  <si>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</si>
  <si>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</si>
  <si>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</si>
  <si>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</si>
  <si>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</si>
  <si>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</si>
  <si>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</si>
  <si>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</si>
  <si>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</si>
  <si>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</si>
  <si>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</si>
  <si>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</si>
  <si>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</si>
  <si>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</si>
  <si>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</si>
  <si>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</si>
  <si>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</si>
  <si>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</si>
  <si>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</si>
  <si>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</si>
  <si>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</si>
  <si>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</si>
  <si>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</si>
  <si>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</si>
  <si>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</si>
  <si>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</si>
  <si>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</si>
  <si>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</si>
  <si>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</si>
  <si>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</si>
  <si>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</si>
  <si>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</si>
  <si>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</si>
  <si>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</si>
  <si>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</si>
  <si>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</si>
  <si>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</si>
  <si>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</si>
  <si>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</si>
  <si>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</si>
  <si>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</si>
  <si>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</si>
  <si>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</si>
  <si>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</si>
  <si>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</si>
  <si>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</si>
  <si>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</si>
  <si>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</si>
  <si>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</si>
  <si>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</si>
  <si>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</si>
  <si>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</si>
  <si>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</si>
  <si>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</si>
  <si>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</si>
  <si>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</si>
  <si>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</si>
  <si>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</si>
  <si>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</si>
  <si>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</si>
  <si>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</si>
  <si>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</si>
  <si>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</si>
  <si>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</si>
  <si>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</si>
  <si>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</si>
  <si>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</si>
  <si>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</si>
  <si>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</si>
  <si>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</si>
  <si>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</si>
  <si>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</si>
  <si>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</si>
  <si>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</si>
  <si>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</si>
  <si>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</si>
  <si>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</si>
  <si>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</si>
  <si>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</si>
  <si>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</si>
  <si>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</si>
  <si>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</si>
  <si>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</si>
  <si>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</si>
  <si>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</si>
  <si>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</si>
  <si>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</si>
  <si>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</si>
  <si>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</si>
  <si>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</si>
  <si>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</si>
  <si>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</si>
  <si>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</si>
  <si>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</si>
  <si>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</si>
  <si>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</si>
  <si>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</si>
  <si>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</si>
  <si>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</si>
  <si>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</si>
  <si>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</si>
  <si>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</si>
  <si>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</si>
  <si>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</si>
  <si>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</si>
  <si>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</si>
  <si>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</si>
  <si>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</si>
  <si>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</si>
  <si>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</si>
  <si>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</si>
  <si>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</si>
  <si>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</si>
  <si>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</si>
  <si>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</si>
  <si>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</si>
  <si>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</si>
  <si>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</si>
  <si>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</si>
  <si>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</si>
  <si>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</si>
  <si>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</si>
  <si>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</si>
  <si>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</si>
  <si>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</si>
  <si>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</si>
  <si>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</si>
  <si>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</si>
  <si>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</si>
  <si>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</si>
  <si>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</si>
  <si>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</si>
  <si>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</si>
  <si>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</si>
  <si>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</si>
  <si>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</si>
  <si>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</si>
  <si>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</si>
  <si>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</si>
  <si>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</si>
  <si>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</si>
  <si>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</si>
  <si>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</si>
  <si>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</si>
  <si>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</si>
  <si>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</si>
  <si>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</si>
  <si>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</si>
  <si>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</si>
  <si>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</si>
  <si>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</si>
  <si>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</si>
  <si>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</si>
  <si>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</si>
  <si>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</si>
  <si>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</si>
  <si>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</si>
  <si>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</si>
  <si>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</si>
  <si>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</si>
  <si>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</si>
  <si>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</si>
  <si>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</si>
  <si>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</si>
  <si>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</si>
  <si>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</si>
  <si>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</si>
  <si>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</si>
  <si>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</si>
  <si>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</si>
  <si>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</si>
  <si>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</si>
  <si>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</si>
  <si>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</si>
  <si>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</si>
  <si>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</si>
  <si>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</si>
  <si>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</si>
  <si>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</si>
  <si>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</si>
  <si>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</si>
  <si>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</si>
  <si>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</si>
  <si>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</si>
  <si>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</si>
  <si>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</si>
  <si>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</si>
  <si>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</si>
  <si>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</si>
  <si>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</si>
  <si>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</si>
  <si>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</si>
  <si>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</si>
  <si>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</si>
  <si>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</si>
  <si>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</si>
  <si>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</si>
  <si>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</si>
  <si>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</si>
  <si>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</si>
  <si>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</si>
  <si>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</si>
  <si>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</si>
  <si>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</si>
  <si>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</si>
  <si>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</si>
  <si>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</si>
  <si>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</si>
  <si>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</si>
  <si>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</si>
  <si>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</si>
  <si>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</si>
  <si>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</si>
  <si>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</si>
  <si>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</si>
  <si>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</si>
  <si>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</si>
  <si>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</si>
  <si>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</si>
  <si>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</si>
  <si>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</si>
  <si>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</si>
  <si>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</si>
  <si>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</si>
  <si>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</si>
  <si>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</si>
  <si>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</si>
  <si>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</si>
  <si>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</si>
  <si>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</si>
  <si>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</si>
  <si>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</si>
  <si>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</si>
  <si>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</si>
  <si>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</si>
  <si>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</si>
  <si>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</si>
  <si>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</si>
  <si>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</si>
  <si>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</si>
  <si>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</si>
  <si>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</si>
  <si>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</si>
  <si>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</si>
  <si>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</si>
  <si>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</si>
  <si>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</si>
  <si>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</si>
  <si>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</si>
  <si>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</si>
  <si>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</si>
  <si>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</si>
  <si>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</si>
  <si>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</si>
  <si>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</si>
  <si>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</si>
  <si>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</si>
  <si>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</si>
  <si>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</si>
  <si>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</si>
  <si>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</si>
  <si>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</si>
  <si>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</si>
  <si>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</si>
  <si>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</si>
  <si>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</si>
  <si>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</si>
  <si>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</si>
  <si>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</si>
  <si>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</si>
  <si>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</si>
  <si>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</si>
  <si>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</si>
  <si>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</si>
  <si>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</si>
  <si>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</si>
  <si>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</si>
  <si>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</si>
  <si>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</si>
  <si>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</si>
  <si>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</si>
  <si>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</si>
  <si>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</si>
  <si>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</si>
  <si>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</si>
  <si>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</si>
  <si>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</si>
  <si>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</si>
  <si>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</si>
  <si>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</si>
  <si>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</si>
  <si>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</si>
  <si>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</si>
  <si>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</si>
  <si>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</si>
  <si>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</si>
  <si>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</si>
  <si>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</si>
  <si>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</si>
  <si>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</si>
  <si>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</si>
  <si>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</si>
  <si>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</si>
  <si>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</si>
  <si>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</si>
  <si>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</si>
  <si>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</si>
  <si>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</si>
  <si>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</si>
  <si>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</si>
  <si>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</si>
  <si>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</si>
  <si>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</si>
  <si>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</si>
  <si>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</si>
  <si>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</si>
  <si>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</si>
  <si>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</si>
  <si>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</si>
  <si>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</si>
  <si>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</si>
  <si>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</si>
  <si>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</si>
  <si>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</si>
  <si>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</si>
  <si>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</si>
  <si>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</si>
  <si>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</si>
  <si>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</si>
  <si>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</si>
  <si>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</si>
  <si>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</si>
  <si>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</si>
  <si>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</si>
  <si>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</si>
  <si>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</si>
  <si>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</si>
  <si>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</si>
  <si>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</si>
  <si>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</si>
  <si>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</si>
  <si>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</si>
  <si>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</si>
  <si>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</si>
  <si>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</si>
  <si>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</si>
  <si>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</si>
  <si>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</si>
  <si>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</si>
  <si>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</si>
  <si>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</si>
  <si>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</si>
  <si>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</si>
  <si>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</si>
  <si>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</si>
  <si>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</si>
  <si>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</si>
  <si>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</si>
  <si>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</si>
  <si>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</si>
  <si>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</si>
  <si>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</si>
  <si>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</si>
  <si>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</si>
  <si>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</si>
  <si>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</si>
  <si>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</si>
  <si>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</si>
  <si>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</si>
  <si>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</si>
  <si>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</si>
  <si>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</si>
  <si>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</si>
  <si>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</si>
  <si>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</si>
  <si>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</si>
  <si>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</si>
  <si>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</si>
  <si>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</si>
  <si>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</si>
  <si>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</si>
  <si>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</si>
  <si>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</si>
  <si>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</si>
  <si>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</si>
  <si>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</si>
  <si>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</si>
  <si>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</si>
  <si>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</si>
  <si>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</si>
  <si>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</si>
  <si>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</si>
  <si>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</si>
  <si>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</si>
  <si>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</si>
  <si>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</si>
  <si>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</si>
  <si>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</si>
  <si>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</si>
  <si>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</si>
  <si>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</si>
  <si>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</si>
  <si>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</si>
  <si>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</si>
  <si>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</si>
  <si>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</si>
  <si>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</si>
  <si>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</si>
  <si>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</si>
  <si>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</si>
  <si>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</si>
  <si>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</si>
  <si>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</si>
  <si>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</si>
  <si>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</si>
  <si>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</si>
  <si>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</si>
  <si>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</si>
  <si>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</si>
  <si>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</si>
  <si>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</si>
  <si>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</si>
  <si>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</si>
  <si>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</si>
  <si>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</si>
  <si>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</si>
  <si>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</si>
  <si>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</si>
  <si>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</si>
  <si>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</si>
  <si>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</si>
  <si>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</si>
  <si>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</si>
  <si>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</si>
  <si>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</si>
  <si>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</si>
  <si>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</si>
  <si>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</si>
  <si>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</si>
  <si>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</si>
  <si>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</si>
  <si>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</si>
  <si>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</si>
  <si>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</si>
  <si>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</si>
  <si>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</si>
  <si>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</si>
  <si>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</si>
  <si>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</si>
  <si>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</si>
  <si>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</si>
  <si>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</si>
  <si>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</si>
  <si>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</si>
  <si>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</si>
  <si>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</si>
  <si>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</si>
  <si>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</si>
  <si>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</si>
  <si>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</si>
  <si>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</si>
  <si>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</si>
  <si>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</si>
  <si>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</si>
  <si>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</si>
  <si>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</si>
  <si>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</si>
  <si>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</si>
  <si>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</si>
  <si>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</si>
  <si>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</si>
  <si>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</si>
  <si>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</si>
  <si>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</si>
  <si>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</si>
  <si>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</si>
  <si>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</si>
  <si>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</si>
  <si>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</si>
  <si>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</si>
  <si>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</si>
  <si>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</si>
  <si>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</si>
  <si>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</si>
  <si>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</si>
  <si>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</si>
  <si>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</si>
  <si>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</si>
  <si>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</si>
  <si>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</si>
  <si>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</si>
  <si>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</si>
  <si>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</si>
  <si>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</si>
  <si>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</si>
  <si>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</si>
  <si>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</si>
  <si>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</si>
  <si>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</si>
  <si>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</si>
  <si>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</si>
  <si>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</si>
  <si>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</si>
  <si>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</si>
  <si>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</si>
  <si>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</si>
  <si>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</si>
  <si>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</si>
  <si>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</si>
  <si>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</si>
  <si>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</si>
  <si>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</si>
  <si>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</si>
  <si>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</si>
  <si>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</si>
  <si>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</si>
  <si>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</si>
  <si>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</si>
  <si>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</si>
  <si>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</si>
  <si>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</si>
  <si>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</si>
  <si>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</si>
  <si>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</si>
  <si>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</si>
  <si>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</si>
  <si>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</si>
  <si>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</si>
  <si>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</si>
  <si>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</si>
  <si>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</si>
  <si>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</si>
  <si>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</si>
  <si>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</si>
  <si>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</si>
  <si>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</si>
  <si>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</si>
  <si>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</si>
  <si>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</si>
  <si>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</si>
  <si>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</si>
  <si>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</si>
  <si>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</si>
  <si>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</si>
  <si>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</si>
  <si>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</si>
  <si>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</si>
  <si>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</si>
  <si>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</si>
  <si>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</si>
  <si>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</si>
  <si>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</si>
  <si>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</si>
  <si>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</si>
  <si>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</si>
  <si>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</si>
  <si>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</si>
  <si>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</si>
  <si>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</si>
  <si>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</si>
  <si>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</si>
  <si>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</si>
  <si>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</si>
  <si>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</si>
  <si>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</si>
  <si>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</si>
  <si>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</si>
  <si>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</si>
  <si>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</si>
  <si>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</si>
  <si>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</si>
  <si>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</si>
  <si>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</si>
  <si>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</si>
  <si>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</si>
  <si>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</si>
  <si>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</si>
  <si>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</si>
  <si>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</si>
  <si>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</si>
  <si>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</si>
  <si>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</si>
  <si>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</si>
  <si>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</si>
  <si>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</si>
  <si>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</si>
  <si>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</si>
  <si>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</si>
  <si>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</si>
  <si>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</si>
  <si>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</si>
  <si>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</si>
  <si>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</si>
  <si>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</si>
  <si>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</si>
  <si>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</si>
  <si>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</si>
  <si>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</si>
  <si>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</si>
  <si>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</si>
  <si>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</si>
  <si>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</si>
  <si>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</si>
  <si>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</si>
  <si>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</si>
  <si>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</si>
  <si>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</si>
  <si>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</si>
  <si>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</si>
  <si>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</si>
  <si>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</si>
  <si>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</si>
  <si>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</si>
  <si>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</si>
  <si>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</si>
  <si>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</si>
  <si>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</si>
  <si>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</si>
  <si>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</si>
  <si>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</si>
  <si>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</si>
  <si>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</si>
  <si>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</si>
  <si>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</si>
  <si>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</si>
  <si>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</si>
  <si>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</si>
  <si>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</si>
  <si>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</si>
  <si>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</si>
  <si>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</si>
  <si>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</si>
  <si>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</si>
  <si>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</si>
  <si>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</si>
  <si>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</si>
  <si>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</si>
  <si>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</si>
  <si>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</si>
  <si>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</si>
  <si>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</si>
  <si>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</si>
  <si>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</si>
  <si>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</si>
  <si>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</si>
  <si>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</si>
  <si>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</si>
  <si>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</si>
  <si>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</si>
  <si>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</si>
  <si>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</si>
  <si>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</si>
  <si>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</si>
  <si>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</si>
  <si>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</si>
  <si>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</si>
  <si>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</si>
  <si>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</si>
  <si>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</si>
  <si>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</si>
  <si>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</si>
  <si>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</si>
  <si>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</si>
  <si>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</si>
  <si>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</si>
  <si>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</si>
  <si>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</si>
  <si>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</si>
  <si>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</si>
  <si>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</si>
  <si>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</si>
  <si>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</si>
  <si>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</si>
  <si>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</si>
  <si>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</si>
  <si>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</si>
  <si>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</si>
  <si>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</si>
  <si>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</si>
  <si>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</si>
  <si>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</si>
  <si>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</si>
  <si>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</si>
  <si>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</si>
  <si>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</si>
  <si>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</si>
  <si>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</si>
  <si>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</si>
  <si>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</si>
  <si>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</si>
  <si>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</si>
  <si>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</si>
  <si>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</si>
  <si>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</si>
  <si>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</si>
  <si>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</si>
  <si>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</si>
  <si>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</si>
  <si>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</si>
  <si>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</si>
  <si>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</si>
  <si>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</si>
  <si>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</si>
  <si>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</si>
  <si>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</si>
  <si>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</si>
  <si>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</si>
  <si>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</si>
  <si>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</si>
  <si>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</si>
  <si>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</si>
  <si>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</si>
  <si>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</si>
  <si>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</si>
  <si>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</si>
  <si>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</si>
  <si>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</si>
  <si>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</si>
  <si>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</si>
  <si>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</si>
  <si>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</si>
  <si>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</si>
  <si>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</si>
  <si>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</si>
  <si>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</si>
  <si>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</si>
  <si>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</si>
  <si>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</si>
  <si>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</si>
  <si>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</si>
  <si>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</si>
  <si>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</si>
  <si>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</si>
  <si>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</si>
  <si>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</si>
  <si>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</si>
  <si>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</si>
  <si>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</si>
  <si>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</si>
  <si>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</si>
  <si>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</si>
  <si>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</si>
  <si>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</si>
  <si>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</si>
  <si>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</si>
  <si>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</si>
  <si>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</si>
  <si>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</si>
  <si>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</si>
  <si>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</si>
  <si>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</si>
  <si>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</si>
  <si>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</si>
  <si>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</si>
  <si>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</si>
  <si>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</si>
  <si>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</si>
  <si>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</si>
  <si>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</si>
  <si>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</si>
  <si>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</si>
  <si>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</si>
  <si>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</si>
  <si>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</si>
  <si>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</si>
  <si>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</si>
  <si>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</si>
  <si>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</si>
  <si>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</si>
  <si>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</si>
  <si>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</si>
  <si>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</si>
  <si>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</si>
  <si>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</si>
  <si>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</si>
  <si>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</si>
  <si>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</si>
  <si>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</si>
  <si>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</si>
  <si>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</si>
  <si>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</si>
  <si>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</si>
  <si>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</si>
  <si>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</si>
  <si>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</si>
  <si>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</si>
  <si>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</si>
  <si>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</si>
  <si>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</si>
  <si>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</si>
  <si>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</si>
  <si>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</si>
  <si>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</si>
  <si>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</si>
  <si>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</si>
  <si>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</si>
  <si>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</si>
  <si>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</si>
  <si>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</si>
  <si>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</si>
  <si>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</si>
  <si>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</si>
  <si>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</si>
  <si>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</si>
  <si>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</si>
  <si>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</si>
  <si>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</si>
  <si>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</si>
  <si>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</si>
  <si>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</si>
  <si>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</si>
  <si>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</si>
  <si>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</si>
  <si>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</si>
  <si>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</si>
  <si>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</si>
  <si>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</si>
  <si>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</si>
  <si>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</si>
  <si>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</si>
  <si>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</si>
  <si>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</si>
  <si>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</si>
  <si>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</si>
  <si>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</si>
  <si>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</si>
  <si>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</si>
  <si>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</si>
  <si>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</si>
  <si>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</si>
  <si>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</si>
  <si>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</si>
  <si>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</si>
  <si>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</si>
  <si>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</si>
  <si>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</si>
  <si>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</si>
  <si>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</si>
  <si>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</si>
  <si>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</si>
  <si>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</si>
  <si>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</si>
  <si>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</si>
  <si>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</si>
  <si>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</si>
  <si>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</si>
  <si>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</si>
  <si>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</si>
  <si>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</si>
  <si>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</si>
  <si>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</si>
  <si>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</si>
  <si>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</si>
  <si>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</si>
  <si>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</si>
  <si>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</si>
  <si>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</si>
  <si>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</si>
  <si>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</si>
  <si>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</si>
  <si>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</si>
  <si>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</si>
  <si>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</si>
  <si>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</si>
  <si>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</si>
  <si>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</si>
  <si>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</si>
  <si>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</si>
  <si>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</si>
  <si>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</si>
  <si>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</si>
  <si>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</si>
  <si>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</si>
  <si>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</si>
  <si>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</si>
  <si>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</si>
  <si>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</si>
  <si>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</si>
  <si>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</si>
  <si>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</si>
  <si>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</si>
  <si>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</si>
  <si>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</si>
  <si>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</si>
  <si>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</si>
  <si>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</si>
  <si>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</si>
  <si>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</si>
  <si>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</si>
  <si>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</si>
  <si>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</si>
  <si>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</si>
  <si>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</si>
  <si>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</si>
  <si>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</si>
  <si>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</si>
  <si>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</si>
  <si>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</si>
  <si>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</si>
  <si>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</si>
  <si>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</si>
  <si>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</si>
  <si>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</si>
  <si>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</si>
  <si>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</si>
  <si>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</si>
  <si>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</si>
  <si>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</si>
  <si>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</si>
  <si>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</si>
  <si>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</si>
  <si>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</si>
  <si>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</si>
  <si>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</si>
  <si>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</si>
  <si>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</si>
  <si>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</si>
  <si>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</si>
  <si>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</si>
  <si>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</si>
  <si>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</si>
  <si>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</si>
  <si>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</si>
  <si>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</si>
  <si>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</si>
  <si>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</si>
  <si>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</si>
  <si>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</si>
  <si>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</si>
  <si>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</si>
  <si>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</si>
  <si>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</si>
  <si>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</si>
  <si>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</si>
  <si>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</si>
  <si>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</si>
  <si>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</si>
  <si>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</si>
  <si>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</si>
  <si>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</si>
  <si>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</si>
  <si>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</si>
  <si>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</si>
  <si>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</si>
  <si>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</si>
  <si>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</si>
  <si>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</si>
  <si>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</si>
  <si>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</si>
  <si>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</si>
  <si>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</si>
  <si>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</si>
  <si>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</si>
  <si>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</si>
  <si>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</si>
  <si>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</si>
  <si>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</si>
  <si>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</si>
  <si>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</si>
  <si>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</si>
  <si>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</si>
  <si>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</si>
  <si>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</si>
  <si>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</si>
  <si>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</si>
  <si>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</si>
  <si>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</si>
  <si>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</si>
  <si>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</si>
  <si>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</si>
  <si>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</si>
  <si>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</si>
  <si>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</si>
  <si>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</si>
  <si>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</si>
  <si>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</si>
  <si>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</si>
  <si>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</si>
  <si>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</si>
  <si>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</si>
  <si>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</si>
  <si>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</si>
  <si>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</si>
  <si>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</si>
  <si>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</si>
  <si>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</si>
  <si>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</si>
  <si>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</si>
  <si>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</si>
  <si>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</si>
  <si>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</si>
  <si>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</si>
  <si>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</si>
  <si>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</si>
  <si>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</si>
  <si>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</si>
  <si>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</si>
  <si>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</si>
  <si>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</si>
  <si>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</si>
  <si>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</si>
  <si>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</si>
  <si>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</si>
  <si>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</si>
  <si>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</si>
  <si>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</si>
  <si>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</si>
  <si>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</si>
  <si>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</si>
  <si>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</si>
  <si>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</si>
  <si>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</si>
  <si>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</si>
  <si>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</si>
  <si>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</si>
  <si>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</si>
  <si>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</si>
  <si>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</si>
  <si>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</si>
  <si>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</si>
  <si>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</si>
  <si>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</si>
  <si>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</si>
  <si>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</si>
  <si>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</si>
  <si>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</si>
  <si>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</si>
  <si>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</si>
  <si>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</si>
  <si>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</si>
  <si>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</si>
  <si>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</si>
  <si>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</si>
  <si>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</si>
  <si>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</si>
  <si>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</si>
  <si>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</si>
  <si>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</si>
  <si>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</si>
  <si>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</si>
  <si>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</si>
  <si>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</si>
  <si>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</si>
  <si>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</si>
  <si>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</si>
  <si>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</si>
  <si>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</si>
  <si>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</si>
  <si>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</si>
  <si>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</si>
  <si>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</si>
  <si>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</si>
  <si>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</si>
  <si>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</si>
  <si>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</si>
  <si>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</si>
  <si>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</si>
  <si>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</si>
  <si>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</si>
  <si>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</si>
  <si>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</si>
  <si>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</si>
  <si>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</si>
  <si>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</si>
  <si>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</si>
  <si>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</si>
  <si>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</si>
  <si>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</si>
  <si>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</si>
  <si>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</si>
  <si>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</si>
  <si>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</si>
  <si>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</si>
  <si>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</si>
  <si>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</si>
  <si>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</si>
  <si>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</si>
  <si>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</si>
  <si>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</si>
  <si>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</si>
  <si>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</si>
  <si>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</si>
  <si>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</si>
  <si>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</si>
  <si>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</si>
  <si>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</si>
  <si>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</si>
  <si>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</si>
  <si>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</si>
  <si>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</si>
  <si>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</si>
  <si>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</si>
  <si>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</si>
  <si>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</si>
  <si>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</si>
  <si>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</si>
  <si>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</si>
  <si>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</si>
  <si>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</si>
  <si>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</si>
  <si>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</si>
  <si>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</si>
  <si>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</si>
  <si>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</si>
  <si>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</si>
  <si>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</si>
  <si>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</si>
  <si>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</si>
  <si>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</si>
  <si>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</si>
  <si>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</si>
  <si>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</si>
  <si>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</si>
  <si>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</si>
  <si>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</si>
  <si>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</si>
  <si>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</si>
  <si>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</si>
  <si>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</si>
  <si>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</si>
  <si>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</si>
  <si>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</si>
  <si>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</si>
  <si>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</si>
  <si>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</si>
  <si>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</si>
  <si>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</si>
  <si>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</si>
  <si>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</si>
  <si>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</si>
  <si>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</si>
  <si>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</si>
  <si>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</si>
  <si>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</si>
  <si>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</si>
  <si>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</si>
  <si>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</si>
  <si>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</si>
  <si>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</si>
  <si>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</si>
  <si>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</si>
  <si>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</si>
  <si>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</si>
  <si>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</si>
  <si>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</si>
  <si>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</si>
  <si>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</si>
  <si>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</si>
  <si>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</si>
  <si>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</si>
  <si>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</si>
  <si>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</si>
  <si>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</si>
  <si>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</si>
  <si>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</si>
  <si>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</si>
  <si>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</si>
  <si>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</si>
  <si>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</si>
  <si>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</si>
  <si>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</si>
  <si>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</si>
  <si>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</si>
  <si>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</si>
  <si>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</si>
  <si>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</si>
  <si>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</si>
  <si>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</si>
  <si>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</si>
  <si>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</si>
  <si>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</si>
  <si>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</si>
  <si>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</si>
  <si>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</si>
  <si>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</si>
  <si>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</si>
  <si>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</si>
  <si>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</si>
  <si>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</si>
  <si>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</si>
  <si>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</si>
  <si>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</si>
  <si>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</si>
  <si>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</si>
  <si>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</si>
  <si>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</si>
  <si>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</si>
  <si>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</si>
  <si>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</si>
  <si>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</si>
  <si>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</si>
  <si>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</si>
  <si>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</si>
  <si>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</si>
  <si>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</si>
  <si>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</si>
  <si>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</si>
  <si>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</si>
  <si>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</si>
  <si>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</si>
  <si>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</si>
  <si>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</si>
  <si>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</si>
  <si>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</si>
  <si>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</si>
  <si>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</si>
  <si>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</si>
  <si>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</si>
  <si>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</si>
  <si>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</si>
  <si>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</si>
  <si>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</si>
  <si>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</si>
  <si>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</si>
  <si>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</si>
  <si>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</si>
  <si>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</si>
  <si>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</si>
  <si>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</si>
  <si>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</si>
  <si>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</si>
  <si>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</si>
  <si>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</si>
  <si>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</si>
  <si>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</si>
  <si>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</si>
  <si>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</si>
  <si>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</si>
  <si>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</si>
  <si>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</si>
  <si>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</si>
  <si>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</si>
  <si>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</si>
  <si>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</si>
  <si>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</si>
  <si>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</si>
  <si>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</si>
  <si>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</si>
  <si>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</si>
  <si>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</si>
  <si>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</si>
  <si>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</si>
  <si>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</si>
  <si>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</si>
  <si>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</si>
  <si>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</si>
  <si>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</si>
  <si>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</si>
  <si>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</si>
  <si>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</si>
  <si>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</si>
  <si>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</si>
  <si>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</si>
  <si>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</si>
  <si>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</si>
  <si>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</si>
  <si>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</si>
  <si>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</si>
  <si>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</si>
  <si>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</si>
  <si>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</si>
  <si>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</si>
  <si>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</si>
  <si>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</si>
  <si>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</si>
  <si>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</si>
  <si>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</si>
  <si>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</si>
  <si>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</si>
  <si>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</si>
  <si>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</si>
  <si>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</si>
  <si>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</si>
  <si>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</si>
  <si>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</si>
  <si>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</si>
  <si>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</si>
  <si>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</si>
  <si>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</si>
  <si>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</si>
  <si>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</si>
  <si>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</si>
  <si>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</si>
  <si>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</si>
  <si>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</si>
  <si>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</si>
  <si>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</si>
  <si>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</si>
  <si>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</si>
  <si>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</si>
  <si>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</si>
  <si>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</si>
  <si>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</si>
  <si>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</si>
  <si>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</si>
  <si>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</si>
  <si>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</si>
  <si>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</si>
  <si>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</si>
  <si>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</si>
  <si>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</si>
  <si>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</si>
  <si>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</si>
  <si>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</si>
  <si>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</si>
  <si>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</si>
  <si>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</si>
  <si>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</si>
  <si>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</si>
  <si>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</si>
  <si>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</si>
  <si>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</si>
  <si>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</si>
  <si>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</si>
  <si>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</si>
  <si>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</si>
  <si>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</si>
  <si>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</si>
  <si>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</si>
  <si>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</si>
  <si>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</si>
  <si>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</si>
  <si>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</si>
  <si>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</si>
  <si>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</si>
  <si>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</si>
  <si>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</si>
  <si>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</si>
  <si>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</si>
  <si>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</si>
  <si>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</si>
  <si>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</si>
  <si>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</si>
  <si>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</si>
  <si>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</si>
  <si>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</si>
  <si>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</si>
  <si>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</si>
  <si>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</si>
  <si>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</si>
  <si>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</si>
  <si>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</si>
  <si>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</si>
  <si>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</si>
  <si>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</si>
  <si>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</si>
  <si>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</si>
  <si>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</si>
  <si>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</si>
  <si>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</si>
  <si>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</si>
  <si>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</si>
  <si>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</si>
  <si>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</si>
  <si>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</si>
  <si>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</si>
  <si>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</si>
  <si>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</si>
  <si>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</si>
  <si>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</si>
  <si>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</si>
  <si>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</si>
  <si>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</si>
  <si>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</si>
  <si>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</si>
  <si>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</si>
  <si>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</si>
  <si>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</si>
  <si>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</si>
  <si>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</si>
  <si>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</si>
  <si>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</si>
  <si>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</si>
  <si>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</si>
  <si>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</si>
  <si>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</si>
  <si>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</si>
  <si>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</si>
  <si>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</si>
  <si>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</si>
  <si>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</si>
  <si>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</si>
  <si>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</si>
  <si>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</si>
  <si>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</si>
  <si>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</si>
  <si>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</si>
  <si>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</si>
  <si>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</si>
  <si>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</si>
  <si>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</si>
  <si>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</si>
  <si>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</si>
  <si>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</si>
  <si>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</si>
  <si>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</si>
  <si>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</si>
  <si>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</si>
  <si>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</si>
  <si>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</si>
  <si>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</si>
  <si>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</si>
  <si>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</si>
  <si>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</si>
  <si>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</si>
  <si>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</si>
  <si>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</si>
  <si>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</si>
  <si>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</si>
  <si>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</si>
  <si>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</si>
  <si>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</si>
  <si>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</si>
  <si>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</si>
  <si>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</si>
  <si>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</si>
  <si>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</si>
  <si>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</si>
  <si>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</si>
  <si>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</si>
  <si>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</si>
  <si>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</si>
  <si>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</si>
  <si>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</si>
  <si>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</si>
  <si>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</si>
  <si>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</si>
  <si>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</si>
  <si>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</si>
  <si>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</si>
  <si>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</si>
  <si>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</si>
  <si>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</si>
  <si>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</si>
  <si>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</si>
  <si>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</si>
  <si>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</si>
  <si>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</si>
  <si>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</si>
  <si>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</si>
  <si>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</si>
  <si>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</si>
  <si>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</si>
  <si>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</si>
  <si>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</si>
  <si>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</si>
  <si>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</si>
  <si>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</si>
  <si>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</si>
  <si>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</si>
  <si>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</si>
  <si>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</si>
  <si>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</si>
  <si>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</si>
  <si>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</si>
  <si>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</si>
  <si>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</si>
  <si>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</si>
  <si>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</si>
  <si>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</si>
  <si>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</si>
  <si>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</si>
  <si>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</si>
  <si>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</si>
  <si>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</si>
  <si>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</si>
  <si>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</si>
  <si>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</si>
  <si>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</si>
  <si>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</si>
  <si>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</si>
  <si>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</si>
  <si>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</si>
  <si>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</si>
  <si>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</si>
  <si>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</si>
  <si>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</si>
  <si>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</si>
  <si>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</si>
  <si>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</si>
  <si>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</si>
  <si>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</si>
  <si>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</si>
  <si>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</si>
  <si>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</si>
  <si>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</si>
  <si>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</si>
  <si>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</si>
  <si>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</si>
  <si>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</si>
  <si>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</si>
  <si>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</si>
  <si>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</si>
  <si>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</si>
  <si>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</si>
  <si>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</si>
  <si>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</si>
  <si>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</si>
  <si>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</si>
  <si>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</si>
  <si>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</si>
  <si>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</si>
  <si>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</si>
  <si>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</si>
  <si>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</si>
  <si>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</si>
  <si>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</si>
  <si>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</si>
  <si>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</si>
  <si>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</si>
  <si>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</si>
  <si>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</si>
  <si>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</si>
  <si>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</si>
  <si>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</si>
  <si>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</si>
  <si>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</si>
  <si>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</si>
  <si>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</si>
  <si>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</si>
  <si>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</si>
  <si>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</si>
  <si>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</si>
  <si>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</si>
  <si>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</si>
  <si>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</si>
  <si>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</si>
  <si>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</si>
  <si>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</si>
  <si>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</si>
  <si>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</si>
  <si>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</si>
  <si>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</si>
  <si>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</si>
  <si>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</si>
  <si>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</si>
  <si>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</si>
  <si>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</si>
  <si>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</si>
  <si>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</si>
  <si>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</si>
  <si>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</si>
  <si>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</si>
  <si>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</si>
  <si>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</si>
  <si>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</si>
  <si>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</si>
  <si>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</si>
  <si>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</si>
  <si>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</si>
  <si>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</si>
  <si>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</si>
  <si>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</si>
  <si>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</si>
  <si>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</si>
  <si>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</si>
  <si>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</si>
  <si>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</si>
  <si>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</si>
  <si>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</si>
  <si>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</si>
  <si>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</si>
  <si>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</si>
  <si>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</si>
  <si>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</si>
  <si>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</si>
  <si>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</si>
  <si>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</si>
  <si>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</si>
  <si>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</si>
  <si>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</si>
  <si>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</si>
  <si>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</si>
  <si>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</si>
  <si>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</si>
  <si>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</si>
  <si>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</si>
  <si>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</si>
  <si>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</si>
  <si>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</si>
  <si>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</si>
  <si>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</si>
  <si>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</si>
  <si>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</si>
  <si>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</si>
  <si>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</si>
  <si>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</si>
  <si>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</si>
  <si>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</si>
  <si>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</si>
  <si>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</si>
  <si>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</si>
  <si>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</si>
  <si>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</si>
  <si>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</si>
  <si>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</si>
  <si>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</si>
  <si>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</si>
  <si>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</si>
  <si>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</si>
  <si>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</si>
  <si>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</si>
  <si>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</si>
  <si>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</si>
  <si>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</si>
  <si>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</si>
  <si>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</si>
  <si>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</si>
  <si>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</si>
  <si>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</si>
  <si>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</si>
  <si>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</si>
  <si>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</si>
  <si>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</si>
  <si>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</si>
  <si>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</si>
  <si>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</si>
  <si>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</si>
  <si>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</si>
  <si>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</si>
  <si>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</si>
  <si>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</si>
  <si>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</si>
  <si>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</si>
  <si>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</si>
  <si>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</si>
  <si>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</si>
  <si>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</si>
  <si>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</si>
  <si>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</si>
  <si>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</si>
  <si>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</si>
  <si>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</si>
  <si>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</si>
  <si>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</si>
  <si>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</si>
  <si>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</si>
  <si>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</si>
  <si>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</si>
  <si>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</si>
  <si>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</si>
  <si>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</si>
  <si>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</si>
  <si>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</si>
  <si>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</si>
  <si>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</si>
  <si>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</si>
  <si>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</si>
  <si>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</si>
  <si>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</si>
  <si>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</si>
  <si>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</si>
  <si>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</si>
  <si>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</si>
  <si>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</si>
  <si>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</si>
  <si>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</si>
  <si>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</si>
  <si>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</si>
  <si>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</si>
  <si>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</si>
  <si>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</si>
  <si>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</si>
  <si>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</si>
  <si>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</si>
  <si>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</si>
  <si>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</si>
  <si>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</si>
  <si>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</si>
  <si>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</si>
  <si>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</si>
  <si>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</si>
  <si>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</si>
  <si>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</si>
  <si>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</si>
  <si>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</si>
  <si>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</si>
  <si>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</si>
  <si>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</si>
  <si>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</si>
  <si>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</si>
  <si>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</si>
  <si>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</si>
  <si>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</si>
  <si>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</si>
  <si>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</si>
  <si>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</si>
  <si>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</si>
  <si>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</si>
  <si>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</si>
  <si>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</si>
  <si>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</si>
  <si>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</si>
  <si>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</si>
  <si>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</si>
  <si>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</si>
  <si>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</si>
  <si>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</si>
  <si>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</si>
  <si>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</si>
  <si>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</si>
  <si>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</si>
  <si>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</si>
  <si>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</si>
  <si>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</si>
  <si>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</si>
  <si>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</si>
  <si>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</si>
  <si>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</si>
  <si>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</si>
  <si>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</si>
  <si>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</si>
  <si>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</si>
  <si>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</si>
  <si>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</si>
  <si>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</si>
  <si>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</si>
  <si>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</si>
  <si>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</si>
  <si>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</si>
  <si>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</si>
  <si>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</si>
  <si>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</si>
  <si>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</si>
  <si>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</si>
  <si>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</si>
  <si>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</si>
  <si>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</si>
  <si>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</si>
  <si>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</si>
  <si>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</si>
  <si>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</si>
  <si>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</si>
  <si>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</si>
  <si>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</si>
  <si>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</si>
  <si>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</si>
  <si>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</si>
  <si>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</si>
  <si>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</si>
  <si>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</si>
  <si>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</si>
  <si>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</si>
  <si>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</si>
  <si>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</si>
  <si>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</si>
  <si>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</si>
  <si>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</si>
  <si>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</si>
  <si>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</si>
  <si>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</si>
  <si>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</si>
  <si>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</si>
  <si>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</si>
  <si>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</si>
  <si>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</si>
  <si>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</si>
  <si>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</si>
  <si>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</si>
  <si>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</si>
  <si>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</si>
  <si>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</si>
  <si>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</si>
  <si>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</si>
  <si>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</si>
  <si>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</si>
  <si>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</si>
  <si>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</si>
  <si>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</si>
  <si>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</si>
  <si>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</si>
  <si>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</si>
  <si>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</si>
  <si>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</si>
  <si>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</si>
  <si>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</si>
  <si>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</si>
  <si>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</si>
  <si>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</si>
  <si>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</si>
  <si>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</si>
  <si>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</si>
  <si>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</si>
  <si>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</si>
  <si>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</si>
  <si>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</si>
  <si>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</si>
  <si>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</si>
  <si>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</si>
  <si>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</si>
  <si>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</si>
  <si>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</si>
  <si>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</si>
  <si>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</si>
  <si>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</si>
  <si>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</si>
  <si>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</si>
  <si>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</si>
  <si>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</si>
  <si>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</si>
  <si>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</si>
  <si>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</si>
  <si>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</si>
  <si>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</si>
  <si>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</si>
  <si>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</si>
  <si>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</si>
  <si>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</si>
  <si>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</si>
  <si>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</si>
  <si>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</si>
  <si>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</si>
  <si>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</si>
  <si>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</si>
  <si>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</si>
  <si>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</si>
  <si>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</si>
  <si>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</si>
  <si>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</si>
  <si>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</si>
  <si>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</si>
  <si>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</si>
  <si>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</si>
  <si>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</si>
  <si>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</si>
  <si>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</si>
  <si>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</si>
  <si>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</si>
  <si>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</si>
  <si>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</si>
  <si>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</si>
  <si>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</si>
  <si>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</si>
  <si>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</si>
  <si>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</si>
  <si>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</si>
  <si>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</si>
  <si>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</si>
  <si>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</si>
  <si>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</si>
  <si>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</si>
  <si>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</si>
  <si>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</si>
  <si>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</si>
  <si>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</si>
  <si>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</si>
  <si>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</si>
  <si>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</si>
  <si>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</si>
  <si>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</si>
  <si>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</si>
  <si>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</si>
  <si>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</si>
  <si>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</si>
  <si>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</si>
  <si>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</si>
  <si>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</si>
  <si>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</si>
  <si>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</si>
  <si>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</si>
  <si>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</si>
  <si>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</si>
  <si>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</si>
  <si>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</si>
  <si>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</si>
  <si>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</si>
  <si>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</si>
  <si>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</si>
  <si>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</si>
  <si>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</si>
  <si>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</si>
  <si>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</si>
  <si>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</si>
  <si>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</si>
  <si>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</si>
  <si>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</si>
  <si>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</si>
  <si>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</si>
  <si>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</si>
  <si>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</si>
  <si>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</si>
  <si>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</si>
  <si>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</si>
  <si>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</si>
  <si>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</si>
  <si>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</si>
  <si>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</si>
  <si>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</si>
  <si>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</si>
  <si>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</si>
  <si>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</si>
  <si>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</si>
  <si>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</si>
  <si>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</si>
  <si>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</si>
  <si>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</si>
  <si>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</si>
  <si>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</si>
  <si>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</si>
  <si>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</si>
  <si>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</si>
  <si>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</si>
  <si>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</si>
  <si>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</si>
  <si>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</si>
  <si>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</si>
  <si>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</si>
  <si>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</si>
  <si>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</si>
  <si>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</si>
  <si>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</si>
  <si>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</si>
  <si>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</si>
  <si>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</si>
  <si>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</si>
  <si>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</si>
  <si>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</si>
  <si>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</si>
  <si>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</si>
  <si>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</si>
  <si>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</si>
  <si>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</si>
  <si>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</si>
  <si>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</si>
  <si>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</si>
  <si>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</si>
  <si>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</si>
  <si>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</si>
  <si>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</si>
  <si>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</si>
  <si>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</si>
  <si>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</si>
  <si>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</si>
  <si>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</si>
  <si>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</si>
  <si>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</si>
  <si>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</si>
  <si>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</si>
  <si>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</si>
  <si>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</si>
  <si>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</si>
  <si>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</si>
  <si>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</si>
  <si>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</si>
  <si>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</si>
  <si>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</si>
  <si>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</si>
  <si>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</si>
  <si>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</si>
  <si>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</si>
  <si>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</si>
  <si>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</si>
  <si>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</si>
  <si>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</si>
  <si>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</si>
  <si>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</si>
  <si>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</si>
  <si>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</si>
  <si>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</si>
  <si>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</si>
  <si>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</si>
  <si>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</si>
  <si>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</si>
  <si>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</si>
  <si>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</si>
  <si>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</si>
  <si>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</si>
  <si>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</si>
  <si>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</si>
  <si>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</si>
  <si>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</si>
  <si>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</si>
  <si>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</si>
  <si>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</si>
  <si>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</si>
  <si>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</si>
  <si>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</si>
  <si>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</si>
  <si>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</si>
  <si>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</si>
  <si>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</si>
  <si>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</si>
  <si>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</si>
  <si>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</si>
  <si>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</si>
  <si>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</si>
  <si>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</si>
  <si>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</si>
  <si>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</si>
  <si>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</si>
  <si>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</si>
  <si>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</si>
  <si>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</si>
  <si>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</si>
  <si>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</si>
  <si>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</si>
  <si>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</si>
  <si>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</si>
  <si>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</si>
  <si>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</si>
  <si>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</si>
  <si>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</si>
  <si>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</si>
  <si>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</si>
  <si>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</si>
  <si>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</si>
  <si>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</si>
  <si>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</si>
  <si>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</si>
  <si>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</si>
  <si>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</si>
  <si>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</si>
  <si>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</si>
  <si>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</si>
  <si>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</si>
  <si>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</si>
  <si>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</si>
  <si>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</si>
  <si>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</si>
  <si>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</si>
  <si>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</si>
  <si>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</si>
  <si>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</si>
  <si>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</si>
  <si>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</si>
  <si>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</si>
  <si>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</si>
  <si>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</si>
  <si>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</si>
  <si>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</si>
  <si>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</si>
  <si>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</si>
  <si>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</si>
  <si>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</si>
  <si>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</si>
  <si>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</si>
  <si>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</si>
  <si>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</si>
  <si>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</si>
  <si>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</si>
  <si>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</si>
  <si>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</si>
  <si>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</si>
  <si>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</si>
  <si>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</si>
  <si>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</si>
  <si>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</si>
  <si>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</si>
  <si>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</si>
  <si>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</si>
  <si>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</si>
  <si>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</si>
  <si>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</si>
  <si>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</si>
  <si>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</si>
  <si>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</si>
  <si>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</si>
  <si>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</si>
  <si>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</si>
  <si>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</si>
  <si>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</si>
  <si>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</si>
  <si>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</si>
  <si>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</si>
  <si>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</si>
  <si>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</si>
  <si>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</si>
  <si>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</si>
  <si>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</si>
  <si>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</si>
  <si>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</si>
  <si>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</si>
  <si>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</si>
  <si>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</si>
  <si>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</si>
  <si>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</si>
  <si>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</si>
  <si>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</si>
  <si>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</si>
  <si>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</si>
  <si>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</si>
  <si>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</si>
  <si>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</si>
  <si>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</si>
  <si>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</si>
  <si>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</si>
  <si>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</si>
  <si>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</si>
  <si>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</si>
  <si>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</si>
  <si>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</si>
  <si>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</si>
  <si>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</si>
  <si>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</si>
  <si>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</si>
  <si>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</si>
  <si>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</si>
  <si>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</si>
  <si>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</si>
  <si>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</si>
  <si>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</si>
  <si>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</si>
  <si>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</si>
  <si>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</si>
  <si>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</si>
  <si>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</si>
  <si>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</si>
  <si>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</si>
  <si>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</si>
  <si>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</si>
  <si>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</si>
  <si>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</si>
  <si>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</si>
  <si>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</si>
  <si>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</si>
  <si>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</si>
  <si>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</si>
  <si>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</si>
  <si>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</si>
  <si>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</si>
  <si>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</si>
  <si>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</si>
  <si>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</si>
  <si>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</si>
  <si>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</si>
  <si>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</si>
  <si>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</si>
  <si>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</si>
  <si>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</si>
  <si>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</si>
  <si>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</si>
  <si>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</si>
  <si>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</si>
  <si>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</si>
  <si>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</si>
  <si>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</si>
  <si>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</si>
  <si>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</si>
  <si>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</si>
  <si>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</si>
  <si>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</si>
  <si>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</si>
  <si>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</si>
  <si>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</si>
  <si>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</si>
  <si>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</si>
  <si>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</si>
  <si>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</si>
  <si>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</si>
  <si>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</si>
  <si>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</si>
  <si>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</si>
  <si>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</si>
  <si>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</si>
  <si>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</si>
  <si>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</si>
  <si>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</si>
  <si>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</si>
  <si>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</si>
  <si>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</si>
  <si>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</si>
  <si>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</si>
  <si>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</si>
  <si>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</si>
  <si>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</si>
  <si>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</si>
  <si>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</si>
  <si>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</si>
  <si>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</si>
  <si>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</si>
  <si>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</si>
  <si>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</si>
  <si>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</si>
  <si>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</si>
  <si>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</si>
  <si>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</si>
  <si>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</si>
  <si>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</si>
  <si>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</si>
  <si>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</si>
  <si>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</si>
  <si>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</si>
  <si>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</si>
  <si>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</si>
  <si>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</si>
  <si>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</si>
  <si>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</si>
  <si>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</si>
  <si>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</si>
  <si>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</si>
  <si>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</si>
  <si>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</si>
  <si>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</si>
  <si>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</si>
  <si>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</si>
  <si>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</si>
  <si>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</si>
  <si>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</si>
  <si>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</si>
  <si>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</si>
  <si>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</si>
  <si>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</si>
  <si>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</si>
  <si>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</si>
  <si>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</si>
  <si>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</si>
  <si>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</si>
  <si>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</si>
  <si>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</si>
  <si>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</si>
  <si>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</si>
  <si>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</si>
  <si>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</si>
  <si>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</si>
  <si>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</si>
  <si>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</si>
  <si>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</si>
  <si>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</si>
  <si>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</si>
  <si>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</si>
  <si>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</si>
  <si>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</si>
  <si>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</si>
  <si>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</si>
  <si>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</si>
  <si>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</si>
  <si>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</si>
  <si>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</si>
  <si>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</si>
  <si>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</si>
  <si>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</si>
  <si>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</si>
  <si>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</si>
  <si>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</si>
  <si>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</si>
  <si>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</si>
  <si>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</si>
  <si>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</si>
  <si>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</si>
  <si>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</si>
  <si>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</si>
  <si>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</si>
  <si>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</si>
  <si>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</si>
  <si>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</si>
  <si>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</si>
  <si>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</si>
  <si>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</si>
  <si>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</si>
  <si>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</si>
  <si>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</si>
  <si>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</si>
  <si>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</si>
  <si>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</si>
  <si>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</si>
  <si>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</si>
  <si>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</si>
  <si>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</si>
  <si>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</si>
  <si>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</si>
  <si>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</si>
  <si>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</si>
  <si>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</si>
  <si>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</si>
  <si>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</si>
  <si>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</si>
  <si>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</si>
  <si>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</si>
  <si>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</si>
  <si>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</si>
  <si>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</si>
  <si>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</si>
  <si>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</si>
  <si>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</si>
  <si>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</si>
  <si>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</si>
  <si>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</si>
  <si>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</si>
  <si>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</si>
  <si>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</si>
  <si>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</si>
  <si>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</si>
  <si>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</si>
  <si>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</si>
  <si>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</si>
  <si>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</si>
  <si>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</si>
  <si>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</si>
  <si>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</si>
  <si>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</si>
  <si>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</si>
  <si>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</si>
  <si>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</si>
  <si>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</si>
  <si>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</si>
  <si>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</si>
  <si>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</si>
  <si>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</si>
  <si>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</si>
  <si>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</si>
  <si>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</si>
  <si>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</si>
  <si>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</si>
  <si>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</si>
  <si>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</si>
  <si>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</si>
  <si>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</si>
  <si>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</si>
  <si>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</si>
  <si>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</si>
  <si>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</si>
  <si>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</si>
  <si>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</si>
  <si>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</si>
  <si>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</si>
  <si>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</si>
  <si>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</si>
  <si>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</si>
  <si>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</si>
  <si>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</si>
  <si>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</si>
  <si>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</si>
  <si>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</si>
  <si>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</si>
  <si>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</si>
  <si>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</si>
  <si>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</si>
  <si>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</si>
  <si>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</si>
  <si>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</si>
  <si>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</si>
  <si>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</si>
  <si>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</si>
  <si>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</si>
  <si>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</si>
  <si>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</si>
  <si>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</si>
  <si>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</si>
  <si>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</si>
  <si>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</si>
  <si>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</si>
  <si>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</si>
  <si>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</si>
  <si>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</si>
  <si>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</si>
  <si>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</si>
  <si>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</si>
  <si>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</si>
  <si>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</si>
  <si>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</si>
  <si>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</si>
  <si>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</si>
  <si>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</si>
  <si>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</si>
  <si>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</si>
  <si>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</si>
  <si>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</si>
  <si>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</si>
  <si>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</si>
  <si>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</si>
  <si>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</si>
  <si>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</si>
  <si>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</si>
  <si>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</si>
  <si>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</si>
  <si>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</si>
  <si>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</si>
  <si>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</si>
  <si>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</si>
  <si>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</si>
  <si>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</si>
  <si>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</si>
  <si>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</si>
  <si>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</si>
  <si>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</si>
  <si>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</si>
  <si>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</si>
  <si>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</si>
  <si>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</si>
  <si>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</si>
  <si>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</si>
  <si>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</si>
  <si>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</si>
  <si>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</si>
  <si>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</si>
  <si>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</si>
  <si>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</si>
  <si>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</si>
  <si>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</si>
  <si>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</si>
  <si>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</si>
  <si>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</si>
  <si>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</si>
  <si>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</si>
  <si>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</si>
  <si>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</si>
  <si>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</si>
  <si>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</si>
  <si>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</si>
  <si>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</si>
  <si>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</si>
  <si>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</si>
  <si>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</si>
  <si>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</si>
  <si>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</si>
  <si>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</si>
  <si>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</si>
  <si>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</si>
  <si>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</si>
  <si>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</si>
  <si>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</si>
  <si>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</si>
  <si>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</si>
  <si>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</si>
  <si>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</si>
  <si>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</si>
  <si>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</si>
  <si>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</si>
  <si>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</si>
  <si>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</si>
  <si>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</si>
  <si>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</si>
  <si>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</si>
  <si>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</si>
  <si>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</si>
  <si>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</si>
  <si>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</si>
  <si>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</si>
  <si>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</si>
  <si>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</si>
  <si>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</si>
  <si>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</si>
  <si>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</si>
  <si>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</si>
  <si>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</si>
  <si>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</si>
  <si>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</si>
  <si>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</si>
  <si>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</si>
  <si>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</si>
  <si>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</si>
  <si>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</si>
  <si>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</si>
  <si>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</si>
  <si>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</si>
  <si>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</si>
  <si>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</si>
  <si>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</si>
  <si>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</si>
  <si>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</si>
  <si>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</si>
  <si>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</si>
  <si>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</si>
  <si>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</si>
  <si>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</si>
  <si>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</si>
  <si>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</si>
  <si>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</si>
  <si>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</si>
  <si>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</si>
  <si>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</si>
  <si>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</si>
  <si>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</si>
  <si>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</si>
  <si>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</si>
  <si>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</si>
  <si>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</si>
  <si>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</si>
  <si>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</si>
  <si>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</si>
  <si>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</si>
  <si>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</si>
  <si>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</si>
  <si>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</si>
  <si>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</si>
  <si>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</si>
  <si>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</si>
  <si>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</si>
  <si>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</si>
  <si>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</si>
  <si>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</si>
  <si>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</si>
  <si>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</si>
  <si>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</si>
  <si>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</si>
  <si>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</si>
  <si>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</si>
  <si>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</si>
  <si>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</si>
  <si>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</si>
  <si>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</si>
  <si>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</si>
  <si>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</si>
  <si>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</si>
  <si>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</si>
  <si>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</si>
  <si>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</si>
  <si>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</si>
  <si>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</si>
  <si>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</si>
  <si>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</si>
  <si>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</si>
  <si>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</si>
  <si>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</si>
  <si>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</si>
  <si>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</si>
  <si>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</si>
  <si>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</si>
  <si>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</si>
  <si>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</si>
  <si>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</si>
  <si>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</si>
  <si>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</si>
  <si>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</si>
  <si>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</si>
  <si>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</si>
  <si>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</si>
  <si>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</si>
  <si>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</si>
  <si>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</si>
  <si>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</si>
  <si>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</si>
  <si>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</si>
  <si>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</si>
  <si>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</si>
  <si>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</si>
  <si>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</si>
  <si>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</si>
  <si>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</si>
  <si>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</si>
  <si>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</si>
  <si>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</si>
  <si>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</si>
  <si>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</si>
  <si>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</si>
  <si>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</si>
  <si>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</si>
  <si>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</si>
  <si>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</si>
  <si>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</si>
  <si>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</si>
  <si>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</si>
  <si>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</si>
  <si>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</si>
  <si>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</si>
  <si>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</si>
  <si>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</si>
  <si>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</si>
  <si>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</si>
  <si>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</si>
  <si>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</si>
  <si>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</si>
  <si>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</si>
  <si>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</si>
  <si>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</si>
  <si>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</si>
  <si>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</si>
  <si>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</si>
  <si>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</si>
  <si>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</si>
  <si>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</si>
  <si>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</si>
  <si>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</si>
  <si>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</si>
  <si>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</si>
  <si>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</si>
  <si>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</si>
  <si>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</si>
  <si>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</si>
  <si>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</si>
  <si>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</si>
  <si>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</si>
  <si>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</si>
  <si>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</si>
  <si>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</si>
  <si>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</si>
  <si>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</si>
  <si>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</si>
  <si>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</si>
  <si>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</si>
  <si>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</si>
  <si>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</si>
  <si>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</si>
  <si>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</si>
  <si>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</si>
  <si>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</si>
  <si>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</si>
  <si>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</si>
  <si>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</si>
  <si>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</si>
  <si>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</si>
  <si>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</si>
  <si>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</si>
  <si>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</si>
  <si>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</si>
  <si>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</si>
  <si>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</si>
  <si>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</si>
  <si>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</si>
  <si>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</si>
  <si>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</si>
  <si>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</si>
  <si>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</si>
  <si>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</si>
  <si>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</si>
  <si>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</si>
  <si>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</si>
  <si>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</si>
  <si>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</si>
  <si>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</si>
  <si>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</si>
  <si>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</si>
  <si>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</si>
  <si>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</si>
  <si>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</si>
  <si>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</si>
  <si>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</si>
  <si>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</si>
  <si>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</si>
  <si>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</si>
  <si>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</si>
  <si>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</si>
  <si>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</si>
  <si>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</si>
  <si>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</si>
  <si>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</si>
  <si>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</si>
  <si>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</si>
  <si>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</si>
  <si>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</si>
  <si>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</si>
  <si>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</si>
  <si>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</si>
  <si>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</si>
  <si>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</si>
  <si>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</si>
  <si>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</si>
  <si>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</si>
  <si>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</si>
  <si>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</si>
  <si>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</si>
  <si>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</si>
  <si>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</si>
  <si>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</si>
  <si>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</si>
  <si>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</si>
  <si>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</si>
  <si>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</si>
  <si>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</si>
  <si>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</si>
  <si>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</si>
  <si>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</si>
  <si>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</si>
  <si>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</si>
  <si>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</si>
  <si>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</si>
  <si>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</si>
  <si>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</si>
  <si>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</si>
  <si>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</si>
  <si>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</si>
  <si>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</si>
  <si>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</si>
  <si>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</si>
  <si>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</si>
  <si>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</si>
  <si>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</si>
  <si>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</si>
  <si>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</si>
  <si>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</si>
  <si>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</si>
  <si>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</si>
  <si>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</si>
  <si>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</si>
  <si>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</si>
  <si>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</si>
  <si>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</si>
  <si>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</si>
  <si>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</si>
  <si>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</si>
  <si>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</si>
  <si>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</si>
  <si>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</si>
  <si>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</si>
  <si>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</si>
  <si>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</si>
  <si>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</si>
  <si>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</si>
  <si>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</si>
  <si>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</si>
  <si>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</si>
  <si>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</si>
  <si>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</si>
  <si>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</si>
  <si>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</si>
  <si>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</si>
  <si>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</si>
  <si>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</si>
  <si>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</si>
  <si>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</si>
  <si>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</si>
  <si>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</si>
  <si>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</si>
  <si>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</si>
  <si>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</si>
  <si>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</si>
  <si>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</si>
  <si>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</si>
  <si>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</si>
  <si>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</si>
  <si>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</si>
  <si>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</si>
  <si>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</si>
  <si>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</si>
  <si>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</si>
  <si>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</si>
  <si>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</si>
  <si>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</si>
  <si>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</si>
  <si>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</si>
  <si>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</si>
  <si>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</si>
  <si>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</si>
  <si>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</si>
  <si>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</si>
  <si>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</si>
  <si>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</si>
  <si>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</si>
  <si>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</si>
  <si>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</si>
  <si>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</si>
  <si>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</si>
  <si>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</si>
  <si>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</si>
  <si>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</si>
  <si>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</si>
  <si>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</si>
  <si>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</si>
  <si>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</si>
  <si>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</si>
  <si>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</si>
  <si>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</si>
  <si>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</si>
  <si>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</si>
  <si>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</si>
  <si>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</si>
  <si>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</si>
  <si>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</si>
  <si>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</si>
  <si>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</si>
  <si>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</si>
  <si>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</si>
  <si>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</si>
  <si>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</si>
  <si>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</si>
  <si>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</si>
  <si>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</si>
  <si>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</si>
  <si>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</si>
  <si>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</si>
  <si>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</si>
  <si>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</si>
  <si>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</si>
  <si>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</si>
  <si>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</si>
  <si>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</si>
  <si>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</si>
  <si>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</si>
  <si>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</si>
  <si>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</si>
  <si>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</si>
  <si>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</si>
  <si>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</si>
  <si>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</si>
  <si>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</si>
  <si>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</si>
  <si>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</si>
  <si>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</si>
  <si>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</si>
  <si>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</si>
  <si>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</si>
  <si>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</si>
  <si>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</si>
  <si>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</si>
  <si>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</si>
  <si>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</si>
  <si>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</si>
  <si>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</si>
  <si>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</si>
  <si>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</si>
  <si>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</si>
  <si>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</si>
  <si>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</si>
  <si>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</si>
  <si>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</si>
  <si>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</si>
  <si>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</si>
  <si>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</si>
  <si>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</si>
  <si>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</si>
  <si>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</si>
  <si>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</si>
  <si>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</si>
  <si>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</si>
  <si>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</si>
  <si>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</si>
  <si>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</si>
  <si>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</si>
  <si>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</si>
  <si>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</si>
  <si>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</si>
  <si>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</si>
  <si>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</si>
  <si>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</si>
  <si>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</si>
  <si>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</si>
  <si>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</si>
  <si>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</si>
  <si>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</si>
  <si>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</si>
  <si>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</si>
  <si>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</si>
  <si>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</si>
  <si>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</si>
  <si>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</si>
  <si>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</si>
  <si>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</si>
  <si>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</si>
  <si>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</si>
  <si>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</si>
  <si>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</si>
  <si>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</si>
  <si>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</si>
  <si>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</si>
  <si>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</si>
  <si>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</si>
  <si>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</si>
  <si>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</si>
  <si>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</si>
  <si>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</si>
  <si>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</si>
  <si>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</si>
  <si>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</si>
  <si>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</si>
  <si>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</si>
  <si>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</si>
  <si>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</si>
  <si>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</si>
  <si>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</si>
  <si>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</si>
  <si>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</si>
  <si>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</si>
  <si>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</si>
  <si>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</si>
  <si>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</si>
  <si>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</si>
  <si>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</si>
  <si>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</si>
  <si>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</si>
  <si>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</si>
  <si>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</si>
  <si>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</si>
  <si>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</si>
  <si>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</si>
  <si>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</si>
  <si>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</si>
  <si>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</si>
  <si>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</si>
  <si>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</si>
  <si>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</si>
  <si>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</si>
  <si>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</si>
  <si>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</si>
  <si>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</si>
  <si>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</si>
  <si>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</si>
  <si>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</si>
  <si>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</si>
  <si>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</si>
  <si>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</si>
  <si>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</si>
  <si>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</si>
  <si>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</si>
  <si>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</si>
  <si>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</si>
  <si>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</si>
  <si>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</si>
  <si>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</si>
  <si>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</si>
  <si>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</si>
  <si>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</si>
  <si>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</si>
  <si>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</si>
  <si>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</si>
  <si>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</si>
  <si>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</si>
  <si>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</si>
  <si>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</si>
  <si>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</si>
  <si>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</si>
  <si>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</si>
  <si>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</si>
  <si>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</si>
  <si>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</si>
  <si>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</si>
  <si>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</si>
  <si>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</si>
  <si>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</si>
  <si>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</si>
  <si>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</si>
  <si>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</si>
  <si>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</si>
  <si>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</si>
  <si>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</si>
  <si>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</si>
  <si>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</si>
  <si>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</si>
  <si>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</si>
  <si>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</si>
  <si>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</si>
  <si>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</si>
  <si>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</si>
  <si>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</si>
  <si>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</si>
  <si>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</si>
  <si>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</si>
  <si>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</si>
  <si>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</si>
  <si>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</si>
  <si>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</si>
  <si>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</si>
  <si>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</si>
  <si>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</si>
  <si>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</si>
  <si>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</si>
  <si>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</si>
  <si>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</si>
  <si>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</si>
  <si>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</si>
  <si>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</si>
  <si>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</si>
  <si>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</si>
  <si>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</si>
  <si>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</si>
  <si>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</si>
  <si>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</si>
  <si>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</si>
  <si>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</si>
  <si>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</si>
  <si>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</si>
  <si>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</si>
  <si>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</si>
  <si>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</si>
  <si>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</si>
  <si>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</si>
  <si>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</si>
  <si>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</si>
  <si>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</si>
  <si>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</si>
  <si>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</si>
  <si>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</si>
  <si>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</si>
  <si>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</si>
  <si>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</si>
  <si>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</si>
  <si>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</si>
  <si>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</si>
  <si>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</si>
  <si>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</si>
  <si>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</si>
  <si>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</si>
  <si>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</si>
  <si>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</si>
  <si>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</si>
  <si>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</si>
  <si>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</si>
  <si>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</si>
  <si>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</si>
  <si>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</si>
  <si>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</si>
  <si>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</si>
  <si>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</si>
  <si>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</si>
  <si>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</si>
  <si>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</si>
  <si>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</si>
  <si>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</si>
  <si>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</si>
  <si>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</si>
  <si>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</si>
  <si>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</si>
  <si>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</si>
  <si>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</si>
  <si>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</si>
  <si>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</si>
  <si>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</si>
  <si>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</si>
  <si>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</si>
  <si>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</si>
  <si>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</si>
  <si>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</si>
  <si>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</si>
  <si>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</si>
  <si>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</si>
  <si>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</si>
  <si>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</si>
  <si>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</si>
  <si>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</si>
  <si>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</si>
  <si>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</si>
  <si>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</si>
  <si>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</si>
  <si>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</si>
  <si>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</si>
  <si>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</si>
  <si>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</si>
  <si>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</si>
  <si>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</si>
  <si>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</si>
  <si>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</si>
  <si>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</si>
  <si>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</si>
  <si>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</si>
  <si>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</si>
  <si>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</si>
  <si>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</si>
  <si>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</si>
  <si>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</si>
  <si>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</si>
  <si>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</si>
  <si>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</si>
  <si>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</si>
  <si>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</si>
  <si>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</si>
  <si>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</si>
  <si>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</si>
  <si>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</si>
  <si>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</si>
  <si>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</si>
  <si>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</si>
  <si>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</si>
  <si>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</si>
  <si>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</si>
  <si>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</si>
  <si>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</si>
  <si>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</si>
  <si>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</si>
  <si>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</si>
  <si>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</si>
  <si>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</si>
  <si>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</si>
  <si>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</si>
  <si>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</si>
  <si>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</si>
  <si>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</si>
  <si>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</si>
  <si>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</si>
  <si>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</si>
  <si>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</si>
  <si>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</si>
  <si>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</si>
  <si>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</si>
  <si>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</si>
  <si>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</si>
  <si>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</si>
  <si>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</si>
  <si>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</si>
  <si>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</si>
  <si>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</si>
  <si>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</si>
  <si>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</si>
  <si>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</si>
  <si>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</si>
  <si>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</si>
  <si>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</si>
  <si>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</si>
  <si>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</si>
  <si>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</si>
  <si>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</si>
  <si>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</si>
  <si>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</si>
  <si>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</si>
  <si>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</si>
  <si>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</si>
  <si>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</si>
  <si>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</si>
  <si>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</si>
  <si>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</si>
  <si>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</si>
  <si>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</si>
  <si>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</si>
  <si>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</si>
  <si>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</si>
  <si>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</si>
  <si>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</si>
  <si>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</si>
  <si>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</si>
  <si>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</si>
  <si>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</si>
  <si>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</si>
  <si>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</si>
  <si>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</si>
  <si>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</si>
  <si>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</si>
  <si>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</si>
  <si>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</si>
  <si>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</si>
  <si>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</si>
  <si>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</si>
  <si>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</si>
  <si>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</si>
  <si>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</si>
  <si>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</si>
  <si>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</si>
  <si>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</si>
  <si>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</si>
  <si>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</si>
  <si>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</si>
  <si>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</si>
  <si>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</si>
  <si>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</si>
  <si>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</si>
  <si>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</si>
  <si>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</si>
  <si>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</si>
  <si>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</si>
  <si>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</si>
  <si>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</si>
  <si>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</si>
  <si>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</si>
  <si>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</si>
  <si>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</si>
  <si>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</si>
  <si>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</si>
  <si>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</si>
  <si>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</si>
  <si>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</si>
  <si>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</si>
  <si>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</si>
  <si>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</si>
  <si>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</si>
  <si>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</si>
  <si>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</si>
  <si>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</si>
  <si>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</si>
  <si>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</si>
  <si>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</si>
  <si>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</si>
  <si>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</si>
  <si>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</si>
  <si>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</si>
  <si>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</si>
  <si>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</si>
  <si>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</si>
  <si>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</si>
  <si>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</si>
  <si>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</si>
  <si>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</si>
  <si>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</si>
  <si>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</si>
  <si>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</si>
  <si>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</si>
  <si>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</si>
  <si>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</si>
  <si>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</si>
  <si>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</si>
  <si>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</si>
  <si>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</si>
  <si>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</si>
  <si>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</si>
  <si>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</si>
  <si>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</si>
  <si>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</si>
  <si>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</si>
  <si>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</si>
  <si>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</si>
  <si>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</si>
  <si>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</si>
  <si>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</si>
  <si>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</si>
  <si>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</si>
  <si>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</si>
  <si>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</si>
  <si>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</si>
  <si>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</si>
  <si>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</si>
  <si>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</si>
  <si>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</si>
  <si>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</si>
  <si>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</si>
  <si>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</si>
  <si>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</si>
  <si>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</si>
  <si>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</si>
  <si>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</si>
  <si>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</si>
  <si>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</si>
  <si>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</si>
  <si>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</si>
  <si>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</si>
  <si>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</si>
  <si>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</si>
  <si>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</si>
  <si>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</si>
  <si>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</si>
  <si>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</si>
  <si>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</si>
  <si>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</si>
  <si>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</si>
  <si>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</si>
  <si>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</si>
  <si>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</si>
  <si>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</si>
  <si>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</si>
  <si>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</si>
  <si>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</si>
  <si>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</si>
  <si>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</si>
  <si>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</si>
  <si>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</si>
  <si>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</si>
  <si>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</si>
  <si>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</si>
  <si>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</si>
  <si>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</si>
  <si>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</si>
  <si>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</si>
  <si>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</si>
  <si>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</si>
  <si>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</si>
  <si>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</si>
  <si>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</si>
  <si>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</si>
  <si>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</si>
  <si>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</si>
  <si>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</si>
  <si>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</si>
  <si>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</si>
  <si>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</si>
  <si>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</si>
  <si>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</si>
  <si>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</si>
  <si>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</si>
  <si>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</si>
  <si>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</si>
  <si>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</si>
  <si>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</si>
  <si>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</si>
  <si>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</si>
  <si>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</si>
  <si>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</si>
  <si>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</si>
  <si>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</si>
  <si>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</si>
  <si>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</si>
  <si>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</si>
  <si>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</si>
  <si>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</si>
  <si>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</si>
  <si>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</si>
  <si>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</si>
  <si>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</si>
  <si>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</si>
  <si>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</si>
  <si>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</si>
  <si>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</si>
  <si>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</si>
  <si>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</si>
  <si>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</si>
  <si>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</si>
  <si>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</si>
  <si>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</si>
  <si>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</si>
  <si>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</si>
  <si>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</si>
  <si>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</si>
  <si>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</si>
  <si>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</si>
  <si>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</si>
  <si>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</si>
  <si>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</si>
  <si>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</si>
  <si>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</si>
  <si>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</si>
  <si>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</si>
  <si>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</si>
  <si>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</si>
  <si>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</si>
  <si>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</si>
  <si>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</si>
  <si>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</si>
  <si>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</si>
  <si>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</si>
  <si>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</si>
  <si>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</si>
  <si>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</si>
  <si>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</si>
  <si>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</si>
  <si>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</si>
  <si>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</si>
  <si>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</si>
  <si>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</si>
  <si>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</si>
  <si>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</si>
  <si>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</si>
  <si>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</si>
  <si>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</si>
  <si>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</si>
  <si>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</si>
  <si>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</si>
  <si>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</si>
  <si>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</si>
  <si>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</si>
  <si>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</si>
  <si>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</si>
  <si>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</si>
  <si>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</si>
  <si>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</si>
  <si>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</si>
  <si>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</si>
  <si>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</si>
  <si>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</si>
  <si>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</si>
  <si>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</si>
  <si>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</si>
  <si>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</si>
  <si>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</si>
  <si>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</si>
  <si>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</si>
  <si>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</si>
  <si>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</si>
  <si>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</si>
  <si>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</si>
  <si>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</si>
  <si>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</si>
  <si>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</si>
  <si>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</si>
  <si>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</si>
  <si>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</si>
  <si>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</si>
  <si>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</si>
  <si>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</si>
  <si>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</si>
  <si>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</si>
  <si>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</si>
  <si>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</si>
  <si>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</si>
  <si>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</si>
  <si>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</si>
  <si>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</si>
  <si>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</si>
  <si>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</si>
  <si>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</si>
  <si>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</si>
  <si>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</si>
  <si>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</si>
  <si>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</si>
  <si>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</si>
  <si>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</si>
  <si>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</si>
  <si>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</si>
  <si>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</si>
  <si>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</si>
  <si>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</si>
  <si>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</si>
  <si>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</si>
  <si>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</si>
  <si>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</si>
  <si>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</si>
  <si>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</si>
  <si>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</si>
  <si>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</si>
  <si>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</si>
  <si>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</si>
  <si>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</si>
  <si>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</si>
  <si>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</si>
  <si>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</si>
  <si>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</si>
  <si>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</si>
  <si>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</si>
  <si>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</si>
  <si>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</si>
  <si>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</si>
  <si>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</si>
  <si>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</si>
  <si>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</si>
  <si>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</si>
  <si>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</si>
  <si>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</si>
  <si>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</si>
  <si>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</si>
  <si>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</si>
  <si>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</si>
  <si>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</si>
  <si>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</si>
  <si>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</si>
  <si>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</si>
  <si>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</si>
  <si>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</si>
  <si>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</si>
  <si>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</si>
  <si>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</si>
  <si>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</si>
  <si>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</si>
  <si>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</si>
  <si>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</si>
  <si>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</si>
  <si>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</si>
  <si>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</si>
  <si>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</si>
  <si>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</si>
  <si>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</si>
  <si>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</si>
  <si>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</si>
  <si>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</si>
  <si>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</si>
  <si>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</si>
  <si>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</si>
  <si>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</si>
  <si>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</si>
  <si>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</si>
  <si>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</si>
  <si>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</si>
  <si>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</si>
  <si>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</si>
  <si>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</si>
  <si>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</si>
  <si>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</si>
  <si>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</si>
  <si>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</si>
  <si>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</si>
  <si>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</si>
  <si>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</si>
  <si>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</si>
  <si>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</si>
  <si>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</si>
  <si>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</si>
  <si>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</si>
  <si>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</si>
  <si>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</si>
  <si>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</si>
  <si>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</si>
  <si>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</si>
  <si>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</si>
  <si>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</si>
  <si>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</si>
  <si>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</si>
  <si>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</si>
  <si>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</si>
  <si>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</si>
  <si>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</si>
  <si>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</si>
  <si>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</si>
  <si>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</si>
  <si>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</si>
  <si>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</si>
  <si>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</si>
  <si>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</si>
  <si>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</si>
  <si>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</si>
  <si>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</si>
  <si>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</si>
  <si>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</si>
  <si>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</si>
  <si>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</si>
  <si>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</si>
  <si>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</si>
  <si>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</si>
  <si>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</si>
  <si>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</si>
  <si>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</si>
  <si>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</si>
  <si>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</si>
  <si>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</si>
  <si>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</si>
  <si>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</si>
  <si>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</si>
  <si>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</si>
  <si>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</si>
  <si>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</si>
  <si>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</si>
  <si>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</si>
  <si>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</si>
  <si>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</si>
  <si>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</si>
  <si>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</si>
  <si>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</si>
  <si>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</si>
  <si>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</si>
  <si>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</si>
  <si>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</si>
  <si>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</si>
  <si>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</si>
  <si>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</si>
  <si>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</si>
  <si>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</si>
  <si>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</si>
  <si>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</si>
  <si>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</si>
  <si>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</si>
  <si>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</si>
  <si>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</si>
  <si>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</si>
  <si>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</si>
  <si>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</si>
  <si>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</si>
  <si>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</si>
  <si>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</si>
  <si>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</si>
  <si>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</si>
  <si>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</si>
  <si>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</si>
  <si>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</si>
  <si>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</si>
  <si>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</si>
  <si>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</si>
  <si>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</si>
  <si>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</si>
  <si>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</si>
  <si>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</si>
  <si>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</si>
  <si>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</si>
  <si>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</si>
  <si>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</si>
  <si>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</si>
  <si>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</si>
  <si>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</si>
  <si>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</si>
  <si>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</si>
  <si>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</si>
  <si>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</si>
  <si>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</si>
  <si>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</si>
  <si>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</si>
  <si>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</si>
  <si>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</si>
  <si>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</si>
  <si>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</si>
  <si>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</si>
  <si>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</si>
  <si>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</si>
  <si>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</si>
  <si>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</si>
  <si>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</si>
  <si>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</si>
  <si>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</si>
  <si>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</si>
  <si>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</si>
  <si>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</si>
  <si>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</si>
  <si>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</si>
  <si>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</si>
  <si>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</si>
  <si>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</si>
  <si>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</si>
  <si>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</si>
  <si>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</si>
  <si>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</si>
  <si>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</si>
  <si>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</si>
  <si>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</si>
  <si>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</si>
  <si>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</si>
  <si>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</si>
  <si>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</si>
  <si>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</si>
  <si>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</si>
  <si>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</si>
  <si>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</si>
  <si>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</si>
  <si>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</si>
  <si>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</si>
  <si>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</si>
  <si>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</si>
  <si>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</si>
  <si>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</si>
  <si>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</si>
  <si>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</si>
  <si>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</si>
  <si>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</si>
  <si>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</si>
  <si>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</si>
  <si>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</si>
  <si>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</si>
  <si>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</si>
  <si>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</si>
  <si>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</si>
  <si>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</si>
  <si>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</si>
  <si>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</si>
  <si>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</si>
  <si>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</si>
  <si>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</si>
  <si>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</si>
  <si>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</si>
  <si>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</si>
  <si>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</si>
  <si>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</si>
  <si>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</si>
  <si>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</si>
  <si>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</si>
  <si>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</si>
  <si>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</si>
  <si>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</si>
  <si>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</si>
  <si>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</si>
  <si>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</si>
  <si>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</si>
  <si>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</si>
  <si>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</si>
  <si>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</si>
  <si>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</si>
  <si>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</si>
  <si>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</si>
  <si>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</si>
  <si>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</si>
  <si>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</si>
  <si>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</si>
  <si>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</si>
  <si>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</si>
  <si>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</si>
  <si>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</si>
  <si>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</si>
  <si>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</si>
  <si>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</si>
  <si>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</si>
  <si>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</si>
  <si>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</si>
  <si>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</si>
  <si>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</si>
  <si>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</si>
  <si>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</si>
  <si>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</si>
  <si>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</si>
  <si>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</si>
  <si>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</si>
  <si>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</si>
  <si>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</si>
  <si>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</si>
  <si>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</si>
  <si>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</si>
  <si>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</si>
  <si>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</si>
  <si>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</si>
  <si>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</si>
  <si>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</si>
  <si>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</si>
  <si>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</si>
  <si>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</si>
  <si>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</si>
  <si>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</si>
  <si>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</si>
  <si>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</si>
  <si>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</si>
  <si>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</si>
  <si>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</si>
  <si>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</si>
  <si>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</si>
  <si>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</si>
  <si>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</si>
  <si>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</si>
  <si>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</si>
  <si>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</si>
  <si>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</si>
  <si>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</si>
  <si>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</si>
  <si>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</si>
  <si>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</si>
  <si>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</si>
  <si>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</si>
  <si>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</si>
  <si>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</si>
  <si>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</si>
  <si>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</si>
  <si>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</si>
  <si>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</si>
  <si>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</si>
  <si>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</si>
  <si>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</si>
  <si>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</si>
  <si>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</si>
  <si>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</si>
  <si>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</si>
  <si>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</si>
  <si>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</si>
  <si>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</si>
  <si>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</si>
  <si>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</si>
  <si>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</si>
  <si>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</si>
  <si>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</si>
  <si>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</si>
  <si>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</si>
  <si>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</si>
  <si>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</si>
  <si>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</si>
  <si>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</si>
  <si>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</si>
  <si>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</si>
  <si>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</si>
  <si>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</si>
  <si>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</si>
  <si>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</si>
  <si>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</si>
  <si>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</si>
  <si>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</si>
  <si>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</si>
  <si>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</si>
  <si>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</si>
  <si>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</si>
  <si>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</si>
  <si>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</si>
  <si>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</si>
  <si>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</si>
  <si>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</si>
  <si>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</si>
  <si>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</si>
  <si>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</si>
  <si>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</si>
  <si>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</si>
  <si>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</si>
  <si>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</si>
  <si>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</si>
  <si>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</si>
  <si>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</si>
  <si>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</si>
  <si>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</si>
  <si>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</si>
  <si>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</si>
  <si>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</si>
  <si>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</si>
  <si>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</si>
  <si>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</si>
  <si>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</si>
  <si>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</si>
  <si>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</si>
  <si>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</si>
  <si>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</si>
  <si>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</si>
  <si>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</si>
  <si>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</si>
  <si>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</si>
  <si>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</si>
  <si>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</si>
  <si>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</si>
  <si>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</si>
  <si>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</si>
  <si>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</si>
  <si>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</si>
  <si>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</si>
  <si>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</si>
  <si>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</si>
  <si>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</si>
  <si>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</si>
  <si>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</si>
  <si>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</si>
  <si>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</si>
  <si>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</si>
  <si>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</si>
  <si>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</si>
  <si>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</si>
  <si>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</si>
  <si>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</si>
  <si>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</si>
  <si>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</si>
  <si>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</si>
  <si>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</si>
  <si>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</si>
  <si>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</si>
  <si>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</si>
  <si>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</si>
  <si>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</si>
  <si>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</si>
  <si>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</si>
  <si>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</si>
  <si>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</si>
  <si>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</si>
  <si>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</si>
  <si>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</si>
  <si>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</si>
  <si>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</si>
  <si>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</si>
  <si>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</si>
  <si>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</si>
  <si>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</si>
  <si>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</si>
  <si>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</si>
  <si>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</si>
  <si>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</si>
  <si>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</si>
  <si>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</si>
  <si>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</si>
  <si>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</si>
  <si>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</si>
  <si>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</si>
  <si>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</si>
  <si>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</si>
  <si>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</si>
  <si>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</si>
  <si>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</si>
  <si>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</si>
  <si>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</si>
  <si>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</si>
  <si>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</si>
  <si>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</si>
  <si>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</si>
  <si>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</si>
  <si>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</si>
  <si>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</si>
  <si>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</si>
  <si>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</si>
  <si>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</si>
  <si>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</si>
  <si>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</si>
  <si>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</si>
  <si>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</si>
  <si>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</si>
  <si>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</si>
  <si>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</si>
  <si>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</si>
  <si>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</si>
  <si>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</si>
  <si>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</si>
  <si>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</si>
  <si>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</si>
  <si>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</si>
  <si>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</si>
  <si>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</si>
  <si>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</si>
  <si>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</si>
  <si>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</si>
  <si>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</si>
  <si>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</si>
  <si>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</si>
  <si>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</si>
  <si>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</si>
  <si>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</si>
  <si>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</si>
  <si>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</si>
  <si>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</si>
  <si>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</si>
  <si>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</si>
  <si>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</si>
  <si>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</si>
  <si>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</si>
  <si>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</si>
  <si>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</si>
  <si>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</si>
  <si>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</si>
  <si>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</si>
  <si>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</si>
  <si>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</si>
  <si>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</si>
  <si>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</si>
  <si>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</si>
  <si>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</si>
  <si>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</si>
  <si>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</si>
  <si>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</si>
  <si>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</si>
  <si>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</si>
  <si>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</si>
  <si>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</si>
  <si>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</si>
  <si>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</si>
  <si>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</si>
  <si>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</si>
  <si>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</si>
  <si>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</si>
  <si>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</si>
  <si>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</si>
  <si>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</si>
  <si>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</si>
  <si>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</si>
  <si>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</si>
  <si>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</si>
  <si>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</si>
  <si>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</si>
  <si>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</si>
  <si>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</si>
  <si>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</si>
  <si>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</si>
  <si>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</si>
  <si>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</si>
  <si>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</si>
  <si>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</si>
  <si>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</si>
  <si>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</si>
  <si>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</si>
  <si>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</si>
  <si>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</si>
  <si>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</si>
  <si>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</si>
  <si>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</si>
  <si>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</si>
  <si>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</si>
  <si>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</si>
  <si>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</si>
  <si>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</si>
  <si>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</si>
  <si>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</si>
  <si>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</si>
  <si>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</si>
  <si>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</si>
  <si>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</si>
  <si>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</si>
  <si>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</si>
  <si>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</si>
  <si>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</si>
  <si>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</si>
  <si>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</si>
  <si>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</si>
  <si>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</si>
  <si>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</si>
  <si>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</si>
  <si>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</si>
  <si>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</si>
  <si>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</si>
  <si>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</si>
  <si>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</si>
  <si>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</si>
  <si>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</si>
  <si>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</si>
  <si>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</si>
  <si>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</si>
  <si>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</si>
  <si>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</si>
  <si>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</si>
  <si>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</si>
  <si>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</si>
  <si>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</si>
  <si>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</si>
  <si>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</si>
  <si>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</si>
  <si>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</si>
  <si>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</si>
  <si>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</si>
  <si>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</si>
  <si>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</si>
  <si>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</si>
  <si>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</si>
  <si>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</si>
  <si>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</si>
  <si>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</si>
  <si>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</si>
  <si>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</si>
  <si>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</si>
  <si>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</si>
  <si>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</si>
  <si>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</si>
  <si>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</si>
  <si>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</si>
  <si>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</si>
  <si>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</si>
  <si>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</si>
  <si>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</si>
  <si>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</si>
  <si>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</si>
  <si>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</si>
  <si>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</si>
  <si>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</si>
  <si>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</si>
  <si>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</si>
  <si>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</si>
  <si>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</si>
  <si>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</si>
  <si>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</si>
  <si>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</si>
  <si>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</si>
  <si>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</si>
  <si>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</si>
  <si>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</si>
  <si>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</si>
  <si>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</si>
  <si>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</si>
  <si>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</si>
  <si>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</si>
  <si>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</si>
  <si>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</si>
  <si>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</si>
  <si>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</si>
  <si>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</si>
  <si>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</si>
  <si>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</si>
  <si>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</si>
  <si>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</si>
  <si>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</si>
  <si>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</si>
  <si>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</si>
  <si>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</si>
  <si>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</si>
  <si>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</si>
  <si>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</si>
  <si>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</si>
  <si>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</si>
  <si>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</si>
  <si>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</si>
  <si>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</si>
  <si>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</si>
  <si>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</si>
  <si>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</si>
  <si>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</si>
  <si>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</si>
  <si>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</si>
  <si>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</si>
  <si>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9% Credits</t>
  </si>
  <si>
    <t>2026-PA123</t>
  </si>
  <si>
    <t>Westchester Ventures, LLC</t>
  </si>
  <si>
    <t>Philip Searles</t>
  </si>
  <si>
    <t>philipsearles@gmail.com</t>
  </si>
  <si>
    <t>Unincorporated County</t>
  </si>
  <si>
    <t>Westchester Village II</t>
  </si>
  <si>
    <t>Sterling Bank</t>
  </si>
  <si>
    <t>Affordable Equity Partners, Inc</t>
  </si>
  <si>
    <t>Amortizing</t>
  </si>
  <si>
    <t>GP &amp; LP Equity</t>
  </si>
  <si>
    <t>Novogradac</t>
  </si>
  <si>
    <t>1.1.2026</t>
  </si>
  <si>
    <t>Low-Rise Elevator</t>
  </si>
  <si>
    <t>Jonesboro Housing Authority</t>
  </si>
  <si>
    <t>4.1.2025</t>
  </si>
  <si>
    <t>Electric Heat Pump</t>
  </si>
  <si>
    <t>Senior Credit - GA Power</t>
  </si>
  <si>
    <t>N/a</t>
  </si>
  <si>
    <t>The Applicant believes the proposed application is consistent with DCA's requirements regarding Project Feasibility, Viability and Conformance with the Plan as detailed in the 2026-2027 QAP.  Westchester Village II complies with the 2026-2027 QAP and the Applicant has not requested any waivers or deviations from these standards.</t>
  </si>
  <si>
    <t>Agree</t>
  </si>
  <si>
    <t>The project costs are within the cost limits.</t>
  </si>
  <si>
    <t>Applicant is targetting a Senior 55+ tenancy.</t>
  </si>
  <si>
    <t>Applicant certifies the community will meet the requirments of the 2026-2027 QAP.</t>
  </si>
  <si>
    <t>Navagradac &amp; Company, LLP</t>
  </si>
  <si>
    <t>Terracon Consultants, Inc</t>
  </si>
  <si>
    <t>Site is fully accessible via paved road.</t>
  </si>
  <si>
    <t>Clayton County Water &amp; Sewer</t>
  </si>
  <si>
    <t>Georgia Power Company</t>
  </si>
  <si>
    <t>Room</t>
  </si>
  <si>
    <t>Covered Porch</t>
  </si>
  <si>
    <t>On-site laundry</t>
  </si>
  <si>
    <t>Applicant certifies that, at a minimum, all dwelling units will comply with the requirements of the 2026-2027 QAP, XVII Building Sustainability and the 2026 Architectural Manual.</t>
  </si>
  <si>
    <t>Terracon Consultants, Inc.</t>
  </si>
  <si>
    <t>Yes - see Comment</t>
  </si>
  <si>
    <t>Applicant believes that the project is an optimal utilization of resources.</t>
  </si>
  <si>
    <t>Housing Needs Characteristics + Stable Communities Characteristics</t>
  </si>
  <si>
    <t>Submitted</t>
  </si>
  <si>
    <t>N/A-9%</t>
  </si>
  <si>
    <t>Metro Atlanta Rapid Transit Authority</t>
  </si>
  <si>
    <t>custserv@itsmarta</t>
  </si>
  <si>
    <t>www.itsmarta.com</t>
  </si>
  <si>
    <t>The proposed development is not located in a 2026 QCT. The % of rental units occupied by 80% AMI and below with severe housing problems is above 45%. Average YOY growth between 2020-2023 is above 1% at 1.84% and the population is higher than it was 10 years prior.</t>
  </si>
  <si>
    <t>WITHIN Census Tract</t>
  </si>
  <si>
    <t>13063040629</t>
  </si>
  <si>
    <t>2023-024</t>
  </si>
  <si>
    <t>Westchester Village</t>
  </si>
  <si>
    <t>The proposed development is a second phase of a development started in 2025 and therefore eligible for 4 points in this category.</t>
  </si>
  <si>
    <t xml:space="preserve">Applicant has used the Jonesboro Housing Authority UA's. The UA's from April 1, 2025 were in effect on January 1, 2026. </t>
  </si>
  <si>
    <t>Applicant certifies that they will meet the requirements of the XXVIII. Waiver of Qualified Contract Right.</t>
  </si>
  <si>
    <t>Applicant certifies that they will meet the requirements of the XXVI. DCA PBRA Agreement Senction.</t>
  </si>
  <si>
    <t xml:space="preserve">Applicant certifies that they will meet the requirements of the 2026-2027 QAP, XXV. </t>
  </si>
  <si>
    <t>Applicant agrees that the proposed development will meet all the requirements under the 2026-2027 QAP, XXIV Supportive Housing.</t>
  </si>
  <si>
    <t>If selected Applicant agrees to submit an AFFH Marketing Plan.</t>
  </si>
  <si>
    <t>Applicant will meet the standards of the 2026-2027 QAP, XVIII Architectural design.</t>
  </si>
  <si>
    <t>Applicant will meet requirements listed under this section of the QAP.</t>
  </si>
  <si>
    <t>Applicant is eligible for all 20 points under Desirable / Undesirable. There are no undesirables.</t>
  </si>
  <si>
    <t>Misc. Admin Costs</t>
  </si>
  <si>
    <t>WV Jonesboro Senior II, LP</t>
  </si>
  <si>
    <t>Please see Tab 7 for the Phase I.</t>
  </si>
  <si>
    <t>Please see Tab 7 for site control.</t>
  </si>
  <si>
    <t>Please see Tab 7 for the market study. All capture rates and rent advantage are with acceptable ranges and the market analyst recomends the project as proposed.</t>
  </si>
  <si>
    <t>The site is zoned correctly and the proposed development is allowed as is. Please see Tab 7 for zoning confirmation.</t>
  </si>
  <si>
    <t>Please see Tab 7 for utility letter from Georgia Power confirming availability.</t>
  </si>
  <si>
    <t>Please see Tab 7 for water/sewer letter confirming availability.</t>
  </si>
  <si>
    <t>Please see Tab 7 for the CSDP confirming the above required and slected amenities.</t>
  </si>
  <si>
    <t>Please see Tab 7 for the CSDP.</t>
  </si>
  <si>
    <t>Applicant certifies that they will meet all the accessibility standards of the 2026-2027 QAP.</t>
  </si>
  <si>
    <t>Please see Tab 5 for the qualification determination.</t>
  </si>
  <si>
    <t>Please see Tab 7 for all rediness to proceed documentation.</t>
  </si>
  <si>
    <t>There is a MARTA Bus stop within 0.01 miles walking from the entrance to the property. Please see Tab 11 for documentation.</t>
  </si>
  <si>
    <t>Grady Health Systems</t>
  </si>
  <si>
    <t>5500 Campbellton Fairburn Rd</t>
  </si>
  <si>
    <t>See Tab 19 for Economic Development Proximity details on the new Grady Health Systems project.</t>
  </si>
  <si>
    <t>Applicant commits to accept resident services coordination from an entity certified as a “3rd Party Resident Services Coordination Contractor” by CORES or other DCA-approved program.</t>
  </si>
  <si>
    <t>The site is located within census tract 13063040629 and is eleigible for 6 points under stable communities.</t>
  </si>
  <si>
    <t>Applicant commits to meet the requirements of VII. Integrated Supportive Housing, A. Supportive Housing Referrals and is claiming points under Referrals without Project-based Rental Assistance Contract. Property contacts have responded to DCA staff seeking to initiate a PBRA contract within the timeframes communicated. DCA-assisted prospective residents do not face barriers in applying for a unit above those experienced by non-DCA-assisted prospective residents.</t>
  </si>
  <si>
    <t>Jonesboro Middle School and Jonesboro High School have received 2024 and 2025 BTO designation. See Tab 12 for attendance zone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</si>
</sst>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3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family val="2"/>
    </font>
    <font>
      <b/>
      <sz val="9"/>
      <color rgb="FFFF0000"/>
      <name val="Arial Narrow"/>
      <family val="2"/>
    </font>
    <font>
      <sz val="11"/>
      <color rgb="FF000000"/>
      <name val="Arial"/>
      <family val="2"/>
    </font>
    <font>
      <u/>
      <sz val="11"/>
      <color rgb="FF000000"/>
      <name val="Arial"/>
      <family val="2"/>
    </font>
    <font>
      <sz val="11"/>
      <color rgb="FF000000"/>
      <name val="Arial"/>
      <family val="2"/>
    </font>
    <font>
      <sz val="11"/>
      <name val="Arial"/>
      <family val="2"/>
    </font>
    <font>
      <sz val="11"/>
      <color rgb="FF000000"/>
      <name val="Arial"/>
      <family val="2"/>
    </font>
    <font>
      <sz val="10"/>
      <color rgb="FF000000"/>
      <name val="Arial"/>
      <family val="2"/>
    </font>
    <font>
      <sz val="8"/>
      <name val="Arial Narrow"/>
      <family val="2"/>
    </font>
    <font>
      <b/>
      <sz val="10"/>
      <color rgb="FFFF0000"/>
      <name val="Arial Narrow"/>
      <family val="2"/>
    </font>
    <font>
      <b/>
      <i/>
      <u/>
      <sz val="11"/>
      <color rgb="FFFF0000"/>
      <name val="Arial Narrow"/>
      <family val="2"/>
    </font>
    <font>
      <b/>
      <i/>
      <sz val="11"/>
      <color rgb="FFFF0000"/>
      <name val="Arial Narrow"/>
      <family val="2"/>
    </font>
    <font>
      <b/>
      <i/>
      <sz val="10"/>
      <color rgb="FFFF0000"/>
      <name val="Arial Narrow"/>
      <family val="2"/>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8"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29">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2"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5"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5"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7" fillId="0" borderId="0" xfId="33" applyFont="1" applyAlignment="1">
      <alignment horizontal="right" vertical="center"/>
    </xf>
    <xf numFmtId="0" fontId="247"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5" fillId="0" borderId="0" xfId="33" applyFont="1" applyAlignment="1">
      <alignment vertical="top"/>
    </xf>
    <xf numFmtId="0" fontId="245"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7" fillId="0" borderId="0" xfId="33" applyFont="1" applyAlignment="1">
      <alignment horizontal="center" vertical="center"/>
    </xf>
    <xf numFmtId="0" fontId="247"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5"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3"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3"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3" fillId="0" borderId="0" xfId="37" applyFont="1"/>
    <xf numFmtId="0" fontId="243" fillId="0" borderId="0" xfId="37" applyFont="1" applyAlignment="1">
      <alignment horizontal="left"/>
    </xf>
    <xf numFmtId="0" fontId="243" fillId="0" borderId="0" xfId="37" applyFont="1" applyAlignment="1">
      <alignment horizontal="left" vertical="center"/>
    </xf>
    <xf numFmtId="0" fontId="250" fillId="0" borderId="0" xfId="37" applyFont="1" applyAlignment="1">
      <alignment horizontal="left"/>
    </xf>
    <xf numFmtId="0" fontId="243" fillId="0" borderId="0" xfId="37" applyFont="1" applyAlignment="1">
      <alignment horizontal="center" vertical="top"/>
    </xf>
    <xf numFmtId="0" fontId="243" fillId="0" borderId="0" xfId="37" applyFont="1" applyAlignment="1">
      <alignment vertical="top"/>
    </xf>
    <xf numFmtId="0" fontId="243" fillId="0" borderId="0" xfId="37" applyFont="1" applyAlignment="1">
      <alignment horizontal="left" vertical="top"/>
    </xf>
    <xf numFmtId="0" fontId="224" fillId="0" borderId="0" xfId="37" applyFont="1"/>
    <xf numFmtId="0" fontId="243"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3"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5" fillId="0" borderId="0" xfId="33" applyFont="1" applyProtection="1">
      <protection locked="0"/>
    </xf>
    <xf numFmtId="0" fontId="245" fillId="0" borderId="0" xfId="33" applyFont="1" applyAlignment="1" applyProtection="1">
      <alignment vertical="center"/>
      <protection locked="0"/>
    </xf>
    <xf numFmtId="0" fontId="245" fillId="0" borderId="0" xfId="33" applyFont="1" applyAlignment="1" applyProtection="1">
      <alignment vertical="top"/>
      <protection locked="0"/>
    </xf>
    <xf numFmtId="0" fontId="245"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0"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6" fillId="0" borderId="0" xfId="37" quotePrefix="1" applyFont="1" applyAlignment="1">
      <alignment vertical="center"/>
    </xf>
    <xf numFmtId="0" fontId="246" fillId="0" borderId="0" xfId="37" applyFont="1" applyAlignment="1">
      <alignment vertical="center"/>
    </xf>
    <xf numFmtId="0" fontId="10" fillId="0" borderId="0" xfId="37" applyFont="1" applyAlignment="1">
      <alignment wrapText="1"/>
    </xf>
    <xf numFmtId="0" fontId="259" fillId="0" borderId="57" xfId="37" applyFont="1" applyBorder="1" applyAlignment="1">
      <alignment horizontal="center" vertical="center"/>
    </xf>
    <xf numFmtId="0" fontId="257"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2"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6" fillId="0" borderId="0" xfId="37" applyFont="1" applyAlignment="1">
      <alignment horizontal="left" vertical="center"/>
    </xf>
    <xf numFmtId="0" fontId="252"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2"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6"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2" fillId="0" borderId="0" xfId="37" applyFont="1" applyAlignment="1">
      <alignment horizontal="center" vertical="top"/>
    </xf>
    <xf numFmtId="0" fontId="252"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6"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2"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6"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4"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4"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7" fillId="0" borderId="0" xfId="37" applyFont="1"/>
    <xf numFmtId="0" fontId="255" fillId="0" borderId="0" xfId="37" applyFont="1" applyAlignment="1">
      <alignment horizontal="right" vertical="center"/>
    </xf>
    <xf numFmtId="0" fontId="111" fillId="0" borderId="33" xfId="37" applyFont="1" applyBorder="1" applyAlignment="1">
      <alignment vertical="center"/>
    </xf>
    <xf numFmtId="0" fontId="246" fillId="0" borderId="14" xfId="37" applyFont="1" applyBorder="1" applyAlignment="1">
      <alignment vertical="center"/>
    </xf>
    <xf numFmtId="0" fontId="10" fillId="0" borderId="14" xfId="37" applyFont="1" applyBorder="1" applyAlignment="1">
      <alignment vertical="center"/>
    </xf>
    <xf numFmtId="0" fontId="253" fillId="0" borderId="42" xfId="37" applyFont="1" applyBorder="1" applyAlignment="1">
      <alignment horizontal="center" vertical="center"/>
    </xf>
    <xf numFmtId="0" fontId="258"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7" fillId="0" borderId="0" xfId="37" applyNumberFormat="1" applyFont="1" applyAlignment="1">
      <alignment horizontal="center" vertical="center"/>
    </xf>
    <xf numFmtId="0" fontId="131" fillId="0" borderId="31" xfId="37" applyFont="1" applyBorder="1" applyAlignment="1">
      <alignment horizontal="right" vertical="center"/>
    </xf>
    <xf numFmtId="38" fontId="259" fillId="0" borderId="0" xfId="37" applyNumberFormat="1" applyFont="1" applyAlignment="1">
      <alignment horizontal="center" vertical="center"/>
    </xf>
    <xf numFmtId="38" fontId="257" fillId="0" borderId="0" xfId="37" applyNumberFormat="1" applyFont="1" applyAlignment="1">
      <alignment horizontal="center" vertical="center"/>
    </xf>
    <xf numFmtId="0" fontId="10" fillId="0" borderId="32" xfId="37" applyFont="1" applyBorder="1" applyAlignment="1">
      <alignment vertical="center"/>
    </xf>
    <xf numFmtId="0" fontId="246"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3"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7" fillId="0" borderId="0" xfId="37" applyFont="1"/>
    <xf numFmtId="9" fontId="262" fillId="0" borderId="9" xfId="37" applyNumberFormat="1" applyFont="1" applyBorder="1" applyAlignment="1">
      <alignment horizontal="center" vertical="center" wrapText="1"/>
    </xf>
    <xf numFmtId="9" fontId="261" fillId="0" borderId="9" xfId="37" applyNumberFormat="1" applyFont="1" applyBorder="1" applyAlignment="1">
      <alignment horizontal="center" vertical="center" wrapText="1"/>
    </xf>
    <xf numFmtId="0" fontId="10" fillId="0" borderId="15" xfId="37" applyFont="1" applyBorder="1"/>
    <xf numFmtId="38" fontId="253" fillId="0" borderId="65" xfId="37" applyNumberFormat="1" applyFont="1" applyBorder="1" applyAlignment="1">
      <alignment horizontal="center" vertical="center" wrapText="1"/>
    </xf>
    <xf numFmtId="38" fontId="253" fillId="0" borderId="64" xfId="37" applyNumberFormat="1" applyFont="1" applyBorder="1" applyAlignment="1">
      <alignment horizontal="center" vertical="center" wrapText="1"/>
    </xf>
    <xf numFmtId="38" fontId="253"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3" fillId="0" borderId="39" xfId="37" applyNumberFormat="1" applyFont="1" applyBorder="1" applyAlignment="1">
      <alignment horizontal="center" vertical="center" wrapText="1"/>
    </xf>
    <xf numFmtId="38" fontId="253" fillId="0" borderId="128" xfId="37" applyNumberFormat="1" applyFont="1" applyBorder="1" applyAlignment="1">
      <alignment horizontal="center" vertical="center" wrapText="1"/>
    </xf>
    <xf numFmtId="38" fontId="258" fillId="0" borderId="125" xfId="37" applyNumberFormat="1" applyFont="1" applyBorder="1" applyAlignment="1">
      <alignment horizontal="center" vertical="center" wrapText="1"/>
    </xf>
    <xf numFmtId="38" fontId="258" fillId="0" borderId="19" xfId="37" applyNumberFormat="1" applyFont="1" applyBorder="1" applyAlignment="1">
      <alignment horizontal="center" vertical="center" wrapText="1"/>
    </xf>
    <xf numFmtId="38" fontId="258" fillId="0" borderId="39" xfId="37" applyNumberFormat="1" applyFont="1" applyBorder="1" applyAlignment="1">
      <alignment horizontal="center" vertical="center" wrapText="1"/>
    </xf>
    <xf numFmtId="0" fontId="10" fillId="0" borderId="16" xfId="37" applyFont="1" applyBorder="1"/>
    <xf numFmtId="38" fontId="253" fillId="0" borderId="19" xfId="37" applyNumberFormat="1" applyFont="1" applyBorder="1" applyAlignment="1">
      <alignment horizontal="center" vertical="center" wrapText="1"/>
    </xf>
    <xf numFmtId="181" fontId="253" fillId="0" borderId="39" xfId="37" applyNumberFormat="1" applyFont="1" applyBorder="1" applyAlignment="1">
      <alignment horizontal="center" vertical="center" wrapText="1"/>
    </xf>
    <xf numFmtId="181" fontId="253" fillId="0" borderId="19" xfId="37" applyNumberFormat="1" applyFont="1" applyBorder="1" applyAlignment="1">
      <alignment horizontal="center" vertical="center" wrapText="1"/>
    </xf>
    <xf numFmtId="0" fontId="253" fillId="0" borderId="39" xfId="37" applyFont="1" applyBorder="1" applyAlignment="1">
      <alignment horizontal="center" vertical="center" wrapText="1"/>
    </xf>
    <xf numFmtId="0" fontId="253" fillId="0" borderId="128" xfId="37" applyFont="1" applyBorder="1" applyAlignment="1">
      <alignment horizontal="center" vertical="center" wrapText="1"/>
    </xf>
    <xf numFmtId="181" fontId="258" fillId="0" borderId="125" xfId="37" applyNumberFormat="1" applyFont="1" applyBorder="1" applyAlignment="1">
      <alignment horizontal="center" vertical="center" wrapText="1"/>
    </xf>
    <xf numFmtId="181" fontId="258" fillId="0" borderId="19" xfId="37" applyNumberFormat="1" applyFont="1" applyBorder="1" applyAlignment="1">
      <alignment horizontal="center" vertical="center" wrapText="1"/>
    </xf>
    <xf numFmtId="0" fontId="258" fillId="0" borderId="39" xfId="37" applyFont="1" applyBorder="1" applyAlignment="1">
      <alignment horizontal="center" vertical="center" wrapText="1"/>
    </xf>
    <xf numFmtId="0" fontId="258" fillId="0" borderId="19" xfId="37" applyFont="1" applyBorder="1" applyAlignment="1">
      <alignment horizontal="center" vertical="center" wrapText="1"/>
    </xf>
    <xf numFmtId="0" fontId="253" fillId="0" borderId="19" xfId="37" applyFont="1" applyBorder="1" applyAlignment="1">
      <alignment horizontal="center" vertical="center" wrapText="1"/>
    </xf>
    <xf numFmtId="181" fontId="253" fillId="28" borderId="39" xfId="37" applyNumberFormat="1" applyFont="1" applyFill="1" applyBorder="1" applyAlignment="1">
      <alignment horizontal="center" vertical="center" wrapText="1"/>
    </xf>
    <xf numFmtId="181" fontId="253" fillId="28" borderId="128" xfId="37" applyNumberFormat="1" applyFont="1" applyFill="1" applyBorder="1" applyAlignment="1">
      <alignment horizontal="center" vertical="center" wrapText="1"/>
    </xf>
    <xf numFmtId="181" fontId="258" fillId="28" borderId="39" xfId="37" applyNumberFormat="1" applyFont="1" applyFill="1" applyBorder="1" applyAlignment="1">
      <alignment horizontal="center" vertical="center" wrapText="1"/>
    </xf>
    <xf numFmtId="181" fontId="258" fillId="28" borderId="19" xfId="37" applyNumberFormat="1" applyFont="1" applyFill="1" applyBorder="1" applyAlignment="1">
      <alignment horizontal="center" vertical="center" wrapText="1"/>
    </xf>
    <xf numFmtId="38" fontId="253" fillId="28" borderId="39" xfId="37" applyNumberFormat="1" applyFont="1" applyFill="1" applyBorder="1" applyAlignment="1">
      <alignment horizontal="center" vertical="center" wrapText="1"/>
    </xf>
    <xf numFmtId="38" fontId="253" fillId="28" borderId="128" xfId="37" applyNumberFormat="1" applyFont="1" applyFill="1" applyBorder="1" applyAlignment="1">
      <alignment horizontal="center" vertical="center" wrapText="1"/>
    </xf>
    <xf numFmtId="38" fontId="258" fillId="28" borderId="39" xfId="37" applyNumberFormat="1" applyFont="1" applyFill="1" applyBorder="1" applyAlignment="1">
      <alignment horizontal="center" vertical="center" wrapText="1"/>
    </xf>
    <xf numFmtId="38" fontId="258" fillId="28" borderId="19" xfId="37" applyNumberFormat="1" applyFont="1" applyFill="1" applyBorder="1" applyAlignment="1">
      <alignment horizontal="center" vertical="center" wrapText="1"/>
    </xf>
    <xf numFmtId="0" fontId="253" fillId="28" borderId="19" xfId="37" applyFont="1" applyFill="1" applyBorder="1" applyAlignment="1">
      <alignment horizontal="center" vertical="center" wrapText="1"/>
    </xf>
    <xf numFmtId="0" fontId="253" fillId="28" borderId="39" xfId="37" applyFont="1" applyFill="1" applyBorder="1" applyAlignment="1">
      <alignment horizontal="center" vertical="center" wrapText="1"/>
    </xf>
    <xf numFmtId="0" fontId="258" fillId="28" borderId="19" xfId="37" applyFont="1" applyFill="1" applyBorder="1" applyAlignment="1">
      <alignment horizontal="center" vertical="center" wrapText="1"/>
    </xf>
    <xf numFmtId="0" fontId="258" fillId="28" borderId="39" xfId="37" applyFont="1" applyFill="1" applyBorder="1" applyAlignment="1">
      <alignment horizontal="center" vertical="center" wrapText="1"/>
    </xf>
    <xf numFmtId="38" fontId="253" fillId="28" borderId="19" xfId="37" applyNumberFormat="1" applyFont="1" applyFill="1" applyBorder="1" applyAlignment="1">
      <alignment horizontal="center" vertical="center" wrapText="1"/>
    </xf>
    <xf numFmtId="0" fontId="258"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3" fillId="0" borderId="37" xfId="37" applyFont="1" applyBorder="1" applyAlignment="1">
      <alignment horizontal="center" vertical="center" wrapText="1"/>
    </xf>
    <xf numFmtId="38" fontId="253" fillId="0" borderId="60" xfId="37" applyNumberFormat="1" applyFont="1" applyBorder="1" applyAlignment="1">
      <alignment horizontal="center" vertical="center" wrapText="1"/>
    </xf>
    <xf numFmtId="38" fontId="253" fillId="0" borderId="37" xfId="37" applyNumberFormat="1" applyFont="1" applyBorder="1" applyAlignment="1">
      <alignment horizontal="center" vertical="center" wrapText="1"/>
    </xf>
    <xf numFmtId="38" fontId="253" fillId="0" borderId="129" xfId="37" applyNumberFormat="1" applyFont="1" applyBorder="1" applyAlignment="1">
      <alignment horizontal="center" vertical="center" wrapText="1"/>
    </xf>
    <xf numFmtId="0" fontId="258" fillId="0" borderId="126" xfId="37" applyFont="1" applyBorder="1" applyAlignment="1">
      <alignment horizontal="center" vertical="center" wrapText="1"/>
    </xf>
    <xf numFmtId="38" fontId="258" fillId="0" borderId="18" xfId="37" applyNumberFormat="1" applyFont="1" applyBorder="1" applyAlignment="1">
      <alignment horizontal="center" vertical="center" wrapText="1"/>
    </xf>
    <xf numFmtId="38" fontId="258" fillId="0" borderId="37" xfId="37" applyNumberFormat="1" applyFont="1" applyBorder="1" applyAlignment="1">
      <alignment horizontal="center" vertical="center" wrapText="1"/>
    </xf>
    <xf numFmtId="0" fontId="259" fillId="0" borderId="0" xfId="37" applyFont="1" applyAlignment="1">
      <alignment vertical="center"/>
    </xf>
    <xf numFmtId="0" fontId="257" fillId="0" borderId="0" xfId="37" applyFont="1" applyAlignment="1">
      <alignment vertical="center"/>
    </xf>
    <xf numFmtId="186" fontId="253" fillId="0" borderId="0" xfId="37" applyNumberFormat="1" applyFont="1" applyAlignment="1">
      <alignment horizontal="center" vertical="center"/>
    </xf>
    <xf numFmtId="186" fontId="258"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0" fillId="0" borderId="0" xfId="37" quotePrefix="1" applyFont="1" applyAlignment="1">
      <alignment vertical="center"/>
    </xf>
    <xf numFmtId="0" fontId="250" fillId="0" borderId="0" xfId="37" applyFont="1" applyAlignment="1">
      <alignment vertical="center"/>
    </xf>
    <xf numFmtId="9" fontId="265" fillId="0" borderId="0" xfId="37" applyNumberFormat="1" applyFont="1" applyAlignment="1">
      <alignment horizontal="center" vertical="center" wrapText="1"/>
    </xf>
    <xf numFmtId="0" fontId="243" fillId="0" borderId="0" xfId="37" applyFont="1" applyAlignment="1">
      <alignment horizontal="right" vertical="center"/>
    </xf>
    <xf numFmtId="0" fontId="243" fillId="0" borderId="0" xfId="37" applyFont="1" applyAlignment="1">
      <alignment horizontal="center" vertical="center" wrapText="1"/>
    </xf>
    <xf numFmtId="38" fontId="243" fillId="0" borderId="0" xfId="37" applyNumberFormat="1" applyFont="1" applyAlignment="1">
      <alignment horizontal="center" vertical="center" wrapText="1"/>
    </xf>
    <xf numFmtId="183" fontId="243"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3" fillId="0" borderId="0" xfId="33" applyFont="1" applyAlignment="1">
      <alignment vertical="center"/>
    </xf>
    <xf numFmtId="0" fontId="243" fillId="0" borderId="0" xfId="33" applyFont="1" applyAlignment="1">
      <alignment horizontal="left" vertical="center"/>
    </xf>
    <xf numFmtId="0" fontId="243" fillId="0" borderId="0" xfId="33" applyFont="1" applyAlignment="1">
      <alignment horizontal="center" vertical="center"/>
    </xf>
    <xf numFmtId="0" fontId="224" fillId="0" borderId="0" xfId="33" applyFont="1" applyAlignment="1">
      <alignment horizontal="center" vertical="center"/>
    </xf>
    <xf numFmtId="0" fontId="250"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67" fillId="0" borderId="0" xfId="0" applyFont="1" applyAlignment="1">
      <alignment horizontal="center"/>
    </xf>
    <xf numFmtId="0" fontId="268"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6"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5"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0" fillId="20" borderId="0" xfId="33" applyFont="1" applyFill="1" applyAlignment="1" applyProtection="1">
      <alignment horizontal="center"/>
      <protection locked="0"/>
    </xf>
    <xf numFmtId="0" fontId="271" fillId="20" borderId="0" xfId="33" applyFont="1" applyFill="1" applyAlignment="1" applyProtection="1">
      <alignment horizontal="center"/>
      <protection locked="0"/>
    </xf>
    <xf numFmtId="0" fontId="271" fillId="0" borderId="0" xfId="33" applyFont="1" applyAlignment="1" applyProtection="1">
      <alignment horizontal="center"/>
      <protection locked="0"/>
    </xf>
    <xf numFmtId="1" fontId="271" fillId="20" borderId="0" xfId="37" applyNumberFormat="1" applyFont="1" applyFill="1" applyAlignment="1">
      <alignment horizontal="center"/>
    </xf>
    <xf numFmtId="1" fontId="271" fillId="20" borderId="0" xfId="37" applyNumberFormat="1" applyFont="1" applyFill="1" applyAlignment="1">
      <alignment horizontal="center" vertical="center"/>
    </xf>
    <xf numFmtId="0" fontId="271" fillId="0" borderId="0" xfId="37" applyFont="1" applyAlignment="1">
      <alignment horizontal="center"/>
    </xf>
    <xf numFmtId="39" fontId="4" fillId="0" borderId="0" xfId="1" applyNumberFormat="1" applyFont="1" applyFill="1" applyBorder="1" applyAlignment="1" applyProtection="1">
      <alignment horizontal="right"/>
    </xf>
    <xf numFmtId="0" fontId="270" fillId="20" borderId="0" xfId="0" applyFont="1" applyFill="1"/>
    <xf numFmtId="0" fontId="272" fillId="20" borderId="0" xfId="0" applyFont="1" applyFill="1" applyAlignment="1">
      <alignment horizontal="center"/>
    </xf>
    <xf numFmtId="0" fontId="270" fillId="20" borderId="0" xfId="0" applyFont="1" applyFill="1" applyAlignment="1">
      <alignment vertical="center"/>
    </xf>
    <xf numFmtId="0" fontId="272" fillId="20" borderId="0" xfId="0" applyFont="1" applyFill="1" applyAlignment="1">
      <alignment horizontal="center" vertical="center"/>
    </xf>
    <xf numFmtId="0" fontId="270" fillId="20" borderId="0" xfId="0" applyFont="1" applyFill="1" applyAlignment="1">
      <alignment horizontal="center"/>
    </xf>
    <xf numFmtId="0" fontId="270" fillId="20" borderId="0" xfId="0" applyFont="1" applyFill="1" applyAlignment="1">
      <alignment horizontal="center" vertical="center"/>
    </xf>
    <xf numFmtId="0" fontId="273" fillId="20" borderId="0" xfId="0" applyFont="1" applyFill="1"/>
    <xf numFmtId="0" fontId="273" fillId="20" borderId="0" xfId="0" applyFont="1" applyFill="1" applyAlignment="1">
      <alignment horizontal="center"/>
    </xf>
    <xf numFmtId="0" fontId="274" fillId="0" borderId="0" xfId="0" applyFont="1" applyAlignment="1">
      <alignment vertical="center"/>
    </xf>
    <xf numFmtId="0" fontId="275" fillId="20" borderId="0" xfId="13" applyFont="1" applyFill="1" applyAlignment="1">
      <alignment horizontal="center"/>
    </xf>
    <xf numFmtId="0" fontId="276" fillId="20" borderId="0" xfId="13" applyFont="1" applyFill="1" applyAlignment="1">
      <alignment horizontal="center"/>
    </xf>
    <xf numFmtId="0" fontId="275" fillId="0" borderId="0" xfId="13" applyFont="1" applyAlignment="1">
      <alignment horizontal="center"/>
    </xf>
    <xf numFmtId="0" fontId="276" fillId="0" borderId="0" xfId="13" applyFont="1"/>
    <xf numFmtId="0" fontId="275" fillId="0" borderId="0" xfId="13" applyFont="1"/>
    <xf numFmtId="0" fontId="274" fillId="20" borderId="0" xfId="0" applyFont="1" applyFill="1"/>
    <xf numFmtId="0" fontId="274" fillId="20" borderId="0" xfId="0" applyFont="1" applyFill="1" applyAlignment="1">
      <alignment horizontal="center" vertical="center"/>
    </xf>
    <xf numFmtId="0" fontId="274" fillId="20" borderId="0" xfId="0" applyFont="1" applyFill="1" applyAlignment="1">
      <alignment vertical="center"/>
    </xf>
    <xf numFmtId="0" fontId="277" fillId="20" borderId="0" xfId="0" applyFont="1" applyFill="1" applyAlignment="1">
      <alignment vertical="center"/>
    </xf>
    <xf numFmtId="0" fontId="277" fillId="20" borderId="0" xfId="0" applyFont="1" applyFill="1"/>
    <xf numFmtId="0" fontId="277"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3"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5"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6" fillId="0" borderId="0" xfId="0" applyFont="1" applyAlignment="1">
      <alignment vertical="center"/>
    </xf>
    <xf numFmtId="0" fontId="287" fillId="0" borderId="0" xfId="0" quotePrefix="1" applyFont="1" applyAlignment="1">
      <alignment vertical="center"/>
    </xf>
    <xf numFmtId="0" fontId="286"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5" fillId="0" borderId="0" xfId="0" applyFont="1" applyAlignment="1">
      <alignment vertical="top"/>
    </xf>
    <xf numFmtId="164" fontId="82" fillId="0" borderId="0" xfId="1" applyNumberFormat="1" applyFont="1" applyFill="1" applyBorder="1" applyAlignment="1" applyProtection="1">
      <alignment vertical="center"/>
    </xf>
    <xf numFmtId="0" fontId="285"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8" fillId="0" borderId="0" xfId="0" applyFont="1" applyAlignment="1">
      <alignment horizontal="center" vertical="center"/>
    </xf>
    <xf numFmtId="4" fontId="82" fillId="0" borderId="0" xfId="0" applyNumberFormat="1" applyFont="1" applyAlignment="1">
      <alignment horizontal="right" vertical="center"/>
    </xf>
    <xf numFmtId="0" fontId="281"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1"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9" fillId="0" borderId="0" xfId="0" applyFont="1" applyAlignment="1">
      <alignment horizontal="left" vertical="center"/>
    </xf>
    <xf numFmtId="164" fontId="289" fillId="0" borderId="0" xfId="0" applyNumberFormat="1" applyFont="1" applyAlignment="1">
      <alignment vertical="center"/>
    </xf>
    <xf numFmtId="0" fontId="289" fillId="0" borderId="0" xfId="0" applyFont="1" applyAlignment="1">
      <alignment vertical="top"/>
    </xf>
    <xf numFmtId="0" fontId="289" fillId="0" borderId="0" xfId="0" applyFont="1" applyAlignment="1">
      <alignment vertical="center"/>
    </xf>
    <xf numFmtId="4" fontId="289" fillId="0" borderId="0" xfId="1" applyNumberFormat="1" applyFont="1" applyFill="1" applyBorder="1" applyAlignment="1" applyProtection="1">
      <alignment horizontal="right" vertical="center"/>
    </xf>
    <xf numFmtId="171" fontId="291" fillId="0" borderId="0" xfId="0" applyNumberFormat="1" applyFont="1" applyAlignment="1">
      <alignment horizontal="left" vertical="center"/>
    </xf>
    <xf numFmtId="4" fontId="289" fillId="0" borderId="0" xfId="1" applyNumberFormat="1" applyFont="1" applyFill="1" applyBorder="1" applyAlignment="1" applyProtection="1">
      <alignment vertical="center"/>
    </xf>
    <xf numFmtId="171" fontId="291" fillId="0" borderId="0" xfId="0" applyNumberFormat="1" applyFont="1" applyAlignment="1">
      <alignment vertical="center"/>
    </xf>
    <xf numFmtId="0" fontId="291" fillId="0" borderId="0" xfId="0" applyFont="1" applyAlignment="1">
      <alignment vertical="center"/>
    </xf>
    <xf numFmtId="0" fontId="282" fillId="0" borderId="0" xfId="0" applyFont="1" applyAlignment="1">
      <alignment horizontal="left" vertical="center"/>
    </xf>
    <xf numFmtId="4" fontId="289" fillId="0" borderId="0" xfId="0" applyNumberFormat="1" applyFont="1" applyAlignment="1">
      <alignment vertical="center"/>
    </xf>
    <xf numFmtId="4" fontId="82" fillId="0" borderId="0" xfId="0" applyNumberFormat="1" applyFont="1" applyAlignment="1">
      <alignment horizontal="left" vertical="center"/>
    </xf>
    <xf numFmtId="0" fontId="290"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1" fillId="0" borderId="0" xfId="0" applyFont="1" applyAlignment="1">
      <alignment horizontal="center" vertical="center"/>
    </xf>
    <xf numFmtId="37" fontId="289" fillId="0" borderId="0" xfId="0" applyNumberFormat="1" applyFont="1" applyAlignment="1">
      <alignment horizontal="center" vertical="center"/>
    </xf>
    <xf numFmtId="0" fontId="289" fillId="0" borderId="0" xfId="0" applyFont="1" applyAlignment="1">
      <alignment horizontal="right" vertical="center"/>
    </xf>
    <xf numFmtId="0" fontId="289"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1"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9"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3"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1"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5" fillId="0" borderId="0" xfId="0" applyFont="1" applyAlignment="1">
      <alignment horizontal="left" vertical="center"/>
    </xf>
    <xf numFmtId="3" fontId="91" fillId="0" borderId="0" xfId="0" applyNumberFormat="1" applyFont="1" applyAlignment="1">
      <alignment horizontal="left" vertical="center"/>
    </xf>
    <xf numFmtId="0" fontId="281"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5" fillId="0" borderId="0" xfId="0" applyFont="1" applyAlignment="1">
      <alignment horizontal="left" vertical="top"/>
    </xf>
    <xf numFmtId="0" fontId="290" fillId="0" borderId="0" xfId="0" applyFont="1" applyAlignment="1">
      <alignment horizontal="right" vertical="center"/>
    </xf>
    <xf numFmtId="0" fontId="98" fillId="0" borderId="0" xfId="0" quotePrefix="1" applyFont="1" applyAlignment="1">
      <alignment horizontal="center" vertical="center"/>
    </xf>
    <xf numFmtId="0" fontId="293"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3"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3" fillId="0" borderId="0" xfId="13" applyFont="1" applyAlignment="1">
      <alignment vertical="top"/>
    </xf>
    <xf numFmtId="0" fontId="79" fillId="0" borderId="0" xfId="13" applyFont="1" applyAlignment="1">
      <alignment vertical="top"/>
    </xf>
    <xf numFmtId="0" fontId="296"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1"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7"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9" fillId="0" borderId="0" xfId="0" applyFont="1" applyAlignment="1">
      <alignment vertical="center"/>
    </xf>
    <xf numFmtId="0" fontId="302" fillId="0" borderId="0" xfId="0" applyFont="1" applyAlignment="1">
      <alignment horizontal="center" vertical="center"/>
    </xf>
    <xf numFmtId="0" fontId="293"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88"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4" fillId="0" borderId="0" xfId="0" applyFont="1" applyAlignment="1">
      <alignment vertical="center"/>
    </xf>
    <xf numFmtId="0" fontId="304" fillId="0" borderId="0" xfId="0" applyFont="1"/>
    <xf numFmtId="0" fontId="297" fillId="0" borderId="0" xfId="0" applyFont="1" applyAlignment="1">
      <alignment vertical="center"/>
    </xf>
    <xf numFmtId="0" fontId="305" fillId="0" borderId="0" xfId="0" applyFont="1" applyAlignment="1">
      <alignment vertical="center"/>
    </xf>
    <xf numFmtId="38" fontId="304"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1"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7" fillId="0" borderId="0" xfId="0" applyFont="1" applyAlignment="1">
      <alignment horizontal="left" vertical="center"/>
    </xf>
    <xf numFmtId="0" fontId="305" fillId="0" borderId="0" xfId="0" applyFont="1" applyAlignment="1">
      <alignment horizontal="left" vertical="center"/>
    </xf>
    <xf numFmtId="38" fontId="244"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4" fillId="0" borderId="0" xfId="1" applyNumberFormat="1" applyFont="1" applyFill="1" applyBorder="1" applyAlignment="1" applyProtection="1">
      <alignment vertical="center"/>
    </xf>
    <xf numFmtId="0" fontId="244" fillId="0" borderId="0" xfId="0" applyFont="1" applyAlignment="1">
      <alignment vertical="center"/>
    </xf>
    <xf numFmtId="38" fontId="244"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6"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8"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4"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9"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0" fillId="0" borderId="0" xfId="0" applyNumberFormat="1" applyFont="1"/>
    <xf numFmtId="0" fontId="311" fillId="0" borderId="0" xfId="0" applyFont="1"/>
    <xf numFmtId="0" fontId="311"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4"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3" fillId="0" borderId="0" xfId="33" applyFont="1"/>
    <xf numFmtId="0" fontId="265"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5" fillId="0" borderId="0" xfId="33" applyFont="1" applyAlignment="1">
      <alignment vertical="center"/>
    </xf>
    <xf numFmtId="0" fontId="243" fillId="0" borderId="0" xfId="33" applyFont="1" applyAlignment="1">
      <alignment vertical="top"/>
    </xf>
    <xf numFmtId="0" fontId="312" fillId="0" borderId="0" xfId="33" applyFont="1" applyAlignment="1">
      <alignment horizontal="right" vertical="center"/>
    </xf>
    <xf numFmtId="0" fontId="312" fillId="0" borderId="0" xfId="33" applyFont="1" applyAlignment="1">
      <alignment horizontal="center" vertical="center"/>
    </xf>
    <xf numFmtId="0" fontId="265" fillId="0" borderId="0" xfId="33" applyFont="1" applyAlignment="1">
      <alignment horizontal="left" vertical="center"/>
    </xf>
    <xf numFmtId="10" fontId="224" fillId="0" borderId="0" xfId="33" applyNumberFormat="1" applyFont="1" applyAlignment="1">
      <alignment vertical="center"/>
    </xf>
    <xf numFmtId="10" fontId="243" fillId="0" borderId="0" xfId="10" applyNumberFormat="1" applyFont="1" applyFill="1" applyBorder="1" applyAlignment="1" applyProtection="1">
      <alignment vertical="center"/>
    </xf>
    <xf numFmtId="10" fontId="243" fillId="0" borderId="0" xfId="33" applyNumberFormat="1" applyFont="1" applyAlignment="1">
      <alignment horizontal="left" vertical="center"/>
    </xf>
    <xf numFmtId="0" fontId="224" fillId="0" borderId="0" xfId="33" applyFont="1" applyAlignment="1">
      <alignment vertical="top"/>
    </xf>
    <xf numFmtId="0" fontId="243"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5" fillId="0" borderId="0" xfId="33" applyFont="1" applyAlignment="1">
      <alignment vertical="top"/>
    </xf>
    <xf numFmtId="0" fontId="243"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2"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2" fillId="0" borderId="0" xfId="33" applyFont="1"/>
    <xf numFmtId="0" fontId="243" fillId="0" borderId="0" xfId="33" applyFont="1" applyAlignment="1">
      <alignment horizontal="justify" vertical="center"/>
    </xf>
    <xf numFmtId="3" fontId="243"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3" fillId="0" borderId="0" xfId="37" applyNumberFormat="1" applyFont="1" applyAlignment="1">
      <alignment vertical="center"/>
    </xf>
    <xf numFmtId="0" fontId="296" fillId="0" borderId="0" xfId="37" applyFont="1" applyAlignment="1">
      <alignment vertical="center"/>
    </xf>
    <xf numFmtId="49" fontId="224" fillId="0" borderId="0" xfId="37" applyNumberFormat="1" applyFont="1" applyAlignment="1">
      <alignment vertical="center"/>
    </xf>
    <xf numFmtId="38" fontId="243" fillId="0" borderId="0" xfId="37" applyNumberFormat="1" applyFont="1" applyAlignment="1">
      <alignment horizontal="center" vertical="center"/>
    </xf>
    <xf numFmtId="181" fontId="224" fillId="0" borderId="0" xfId="37" applyNumberFormat="1" applyFont="1" applyAlignment="1">
      <alignment horizontal="center" vertical="center"/>
    </xf>
    <xf numFmtId="0" fontId="265"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3" fillId="0" borderId="0" xfId="37" applyFont="1" applyAlignment="1">
      <alignment horizontal="right"/>
    </xf>
    <xf numFmtId="0" fontId="250" fillId="0" borderId="0" xfId="37" applyFont="1" applyAlignment="1">
      <alignment horizontal="left" vertical="center"/>
    </xf>
    <xf numFmtId="0" fontId="250" fillId="0" borderId="0" xfId="37" applyFont="1" applyAlignment="1">
      <alignment horizontal="center" vertical="center"/>
    </xf>
    <xf numFmtId="0" fontId="250"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3" fillId="0" borderId="0" xfId="37" quotePrefix="1" applyFont="1" applyAlignment="1">
      <alignment horizontal="right" vertical="center"/>
    </xf>
    <xf numFmtId="0" fontId="224" fillId="0" borderId="0" xfId="37" quotePrefix="1" applyFont="1" applyAlignment="1">
      <alignment horizontal="left" vertical="top"/>
    </xf>
    <xf numFmtId="0" fontId="250"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3"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xf>
    <xf numFmtId="0" fontId="265" fillId="0" borderId="0" xfId="37" applyFont="1" applyAlignment="1">
      <alignment vertical="top"/>
    </xf>
    <xf numFmtId="38" fontId="224" fillId="0" borderId="0" xfId="37" applyNumberFormat="1" applyFont="1" applyAlignment="1">
      <alignment vertical="center"/>
    </xf>
    <xf numFmtId="0" fontId="265" fillId="0" borderId="0" xfId="37" applyFont="1" applyAlignment="1">
      <alignment horizontal="left"/>
    </xf>
    <xf numFmtId="0" fontId="243" fillId="0" borderId="0" xfId="37" quotePrefix="1" applyFont="1"/>
    <xf numFmtId="0" fontId="88" fillId="0" borderId="0" xfId="37" applyFont="1"/>
    <xf numFmtId="0" fontId="243" fillId="0" borderId="0" xfId="37" quotePrefix="1" applyFont="1" applyAlignment="1">
      <alignment vertical="center"/>
    </xf>
    <xf numFmtId="0" fontId="224" fillId="0" borderId="0" xfId="37" applyFont="1" applyAlignment="1">
      <alignment horizontal="left" vertical="top"/>
    </xf>
    <xf numFmtId="0" fontId="250"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3" fillId="0" borderId="0" xfId="37" quotePrefix="1" applyFont="1" applyAlignment="1">
      <alignment vertical="top"/>
    </xf>
    <xf numFmtId="0" fontId="265" fillId="0" borderId="0" xfId="37" applyFont="1"/>
    <xf numFmtId="3" fontId="243"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3" fillId="0" borderId="0" xfId="37" applyNumberFormat="1" applyFont="1" applyAlignment="1">
      <alignment vertical="center"/>
    </xf>
    <xf numFmtId="38" fontId="243"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3" fillId="0" borderId="0" xfId="37" quotePrefix="1" applyFont="1" applyAlignment="1">
      <alignment horizontal="right" vertical="top"/>
    </xf>
    <xf numFmtId="0" fontId="243" fillId="0" borderId="0" xfId="37" quotePrefix="1" applyFont="1" applyAlignment="1">
      <alignment horizontal="center" vertical="top"/>
    </xf>
    <xf numFmtId="0" fontId="243" fillId="0" borderId="0" xfId="37" quotePrefix="1" applyFont="1" applyAlignment="1">
      <alignment horizontal="center" vertical="center"/>
    </xf>
    <xf numFmtId="0" fontId="250"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3"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0" fillId="0" borderId="0" xfId="37" quotePrefix="1" applyFont="1"/>
    <xf numFmtId="0" fontId="250"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3"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5" fillId="0" borderId="0" xfId="0" applyFont="1" applyAlignment="1">
      <alignment horizontal="right" vertical="center"/>
    </xf>
    <xf numFmtId="0" fontId="243" fillId="0" borderId="0" xfId="37" quotePrefix="1" applyFont="1" applyAlignment="1">
      <alignment horizontal="left" vertical="center"/>
    </xf>
    <xf numFmtId="183" fontId="224" fillId="0" borderId="0" xfId="37" applyNumberFormat="1" applyFont="1" applyAlignment="1">
      <alignment horizontal="center" vertical="center"/>
    </xf>
    <xf numFmtId="0" fontId="265"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3" fillId="0" borderId="0" xfId="37" applyNumberFormat="1" applyFont="1" applyAlignment="1">
      <alignment vertical="center"/>
    </xf>
    <xf numFmtId="167" fontId="88" fillId="0" borderId="0" xfId="37" applyNumberFormat="1" applyFont="1" applyAlignment="1">
      <alignment horizontal="left" vertical="center"/>
    </xf>
    <xf numFmtId="0" fontId="316" fillId="0" borderId="0" xfId="37" applyFont="1" applyAlignment="1">
      <alignment vertical="center"/>
    </xf>
    <xf numFmtId="181" fontId="243"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3" fillId="0" borderId="0" xfId="37" applyNumberFormat="1" applyFont="1" applyAlignment="1">
      <alignment vertical="top"/>
    </xf>
    <xf numFmtId="183" fontId="243"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17" fillId="0" borderId="0" xfId="37" applyFont="1" applyAlignment="1">
      <alignment horizontal="right" vertical="center"/>
    </xf>
    <xf numFmtId="0" fontId="312" fillId="0" borderId="0" xfId="37" applyFont="1"/>
    <xf numFmtId="0" fontId="79" fillId="0" borderId="0" xfId="37" applyFont="1" applyAlignment="1">
      <alignment horizontal="center" vertical="center"/>
    </xf>
    <xf numFmtId="49" fontId="243" fillId="0" borderId="0" xfId="37" applyNumberFormat="1" applyFont="1" applyAlignment="1">
      <alignment vertical="center"/>
    </xf>
    <xf numFmtId="0" fontId="265"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3" fillId="0" borderId="0" xfId="37" applyNumberFormat="1" applyFont="1" applyAlignment="1">
      <alignment vertical="center"/>
    </xf>
    <xf numFmtId="0" fontId="318"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3"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3" fillId="0" borderId="0" xfId="37" applyNumberFormat="1" applyFont="1" applyAlignment="1">
      <alignment horizontal="center" vertical="center"/>
    </xf>
    <xf numFmtId="186" fontId="243" fillId="0" borderId="0" xfId="0" applyNumberFormat="1" applyFont="1" applyAlignment="1">
      <alignment horizontal="center" vertical="center"/>
    </xf>
    <xf numFmtId="188" fontId="243" fillId="0" borderId="0" xfId="37" applyNumberFormat="1" applyFont="1" applyAlignment="1">
      <alignment horizontal="center" vertical="center"/>
    </xf>
    <xf numFmtId="0" fontId="319" fillId="0" borderId="0" xfId="33" applyFont="1"/>
    <xf numFmtId="0" fontId="320" fillId="0" borderId="0" xfId="33" applyFont="1"/>
    <xf numFmtId="0" fontId="320" fillId="0" borderId="0" xfId="33" applyFont="1" applyAlignment="1">
      <alignment horizontal="left" vertical="center"/>
    </xf>
    <xf numFmtId="0" fontId="320" fillId="0" borderId="0" xfId="33" applyFont="1" applyAlignment="1">
      <alignment vertical="center"/>
    </xf>
    <xf numFmtId="164" fontId="320" fillId="0" borderId="0" xfId="34" applyNumberFormat="1" applyFont="1" applyFill="1" applyBorder="1" applyAlignment="1" applyProtection="1">
      <alignment vertical="center"/>
    </xf>
    <xf numFmtId="0" fontId="280" fillId="0" borderId="0" xfId="33" applyFont="1"/>
    <xf numFmtId="14" fontId="320" fillId="0" borderId="0" xfId="34" applyNumberFormat="1" applyFont="1" applyFill="1" applyBorder="1" applyAlignment="1" applyProtection="1">
      <alignment vertical="center"/>
    </xf>
    <xf numFmtId="0" fontId="285" fillId="0" borderId="0" xfId="33" applyFont="1" applyAlignment="1">
      <alignment vertical="center"/>
    </xf>
    <xf numFmtId="0" fontId="320" fillId="0" borderId="0" xfId="33" applyFont="1" applyAlignment="1">
      <alignment horizontal="center" vertical="center"/>
    </xf>
    <xf numFmtId="164" fontId="320" fillId="0" borderId="0" xfId="34" applyNumberFormat="1" applyFont="1" applyFill="1" applyBorder="1" applyAlignment="1" applyProtection="1">
      <alignment horizontal="center" vertical="center"/>
    </xf>
    <xf numFmtId="164" fontId="285" fillId="0" borderId="0" xfId="34" applyNumberFormat="1" applyFont="1" applyFill="1" applyBorder="1" applyAlignment="1" applyProtection="1">
      <alignment vertical="center"/>
    </xf>
    <xf numFmtId="43" fontId="320" fillId="0" borderId="0" xfId="34" applyFont="1" applyFill="1" applyBorder="1" applyAlignment="1" applyProtection="1">
      <alignment vertical="center"/>
    </xf>
    <xf numFmtId="166" fontId="320" fillId="0" borderId="0" xfId="35" applyNumberFormat="1" applyFont="1" applyFill="1" applyBorder="1" applyAlignment="1" applyProtection="1">
      <alignment vertical="center"/>
    </xf>
    <xf numFmtId="0" fontId="320" fillId="0" borderId="0" xfId="33" applyFont="1" applyAlignment="1">
      <alignment horizontal="center"/>
    </xf>
    <xf numFmtId="0" fontId="320" fillId="0" borderId="0" xfId="33" applyFont="1" applyAlignment="1">
      <alignment horizontal="left"/>
    </xf>
    <xf numFmtId="166" fontId="320" fillId="0" borderId="0" xfId="35" applyNumberFormat="1" applyFont="1" applyFill="1" applyBorder="1" applyAlignment="1" applyProtection="1"/>
    <xf numFmtId="0" fontId="321" fillId="0" borderId="0" xfId="33" applyFont="1"/>
    <xf numFmtId="0" fontId="98" fillId="0" borderId="0" xfId="33" applyFont="1" applyAlignment="1">
      <alignment horizontal="left"/>
    </xf>
    <xf numFmtId="0" fontId="285" fillId="0" borderId="0" xfId="33" applyFont="1" applyAlignment="1">
      <alignment horizontal="center"/>
    </xf>
    <xf numFmtId="164" fontId="285"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0" fillId="0" borderId="0" xfId="33" applyFont="1" applyAlignment="1">
      <alignment horizontal="right" vertical="center"/>
    </xf>
    <xf numFmtId="0" fontId="285" fillId="0" borderId="0" xfId="33" applyFont="1" applyAlignment="1">
      <alignment horizontal="right"/>
    </xf>
    <xf numFmtId="182" fontId="320" fillId="0" borderId="0" xfId="33" applyNumberFormat="1" applyFont="1" applyAlignment="1">
      <alignment horizontal="center"/>
    </xf>
    <xf numFmtId="164" fontId="285" fillId="0" borderId="0" xfId="34" applyNumberFormat="1" applyFont="1" applyFill="1" applyBorder="1" applyAlignment="1" applyProtection="1">
      <alignment horizontal="center" vertical="center"/>
    </xf>
    <xf numFmtId="0" fontId="285" fillId="0" borderId="0" xfId="33" applyFont="1"/>
    <xf numFmtId="182" fontId="320" fillId="0" borderId="0" xfId="33" applyNumberFormat="1" applyFont="1" applyAlignment="1">
      <alignment vertical="center"/>
    </xf>
    <xf numFmtId="37" fontId="320" fillId="0" borderId="0" xfId="34" applyNumberFormat="1" applyFont="1" applyFill="1" applyBorder="1" applyAlignment="1" applyProtection="1">
      <alignment vertical="center"/>
    </xf>
    <xf numFmtId="37" fontId="320" fillId="0" borderId="0" xfId="33" applyNumberFormat="1" applyFont="1" applyAlignment="1">
      <alignment vertical="center"/>
    </xf>
    <xf numFmtId="182" fontId="320" fillId="0" borderId="0" xfId="33" applyNumberFormat="1" applyFont="1" applyAlignment="1">
      <alignment horizontal="center" vertical="center"/>
    </xf>
    <xf numFmtId="164" fontId="320" fillId="0" borderId="0" xfId="34" applyNumberFormat="1" applyFont="1" applyFill="1" applyBorder="1" applyAlignment="1" applyProtection="1"/>
    <xf numFmtId="164" fontId="280" fillId="0" borderId="0" xfId="34" applyNumberFormat="1" applyFont="1" applyFill="1" applyBorder="1" applyAlignment="1" applyProtection="1">
      <alignment horizontal="center" vertical="center"/>
    </xf>
    <xf numFmtId="0" fontId="39" fillId="0" borderId="0" xfId="37" applyFont="1" applyAlignment="1">
      <alignment wrapText="1"/>
    </xf>
    <xf numFmtId="0" fontId="278"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3" fillId="33" borderId="150" xfId="0" applyFont="1" applyFill="1" applyBorder="1" applyAlignment="1">
      <alignment vertical="center" wrapText="1"/>
    </xf>
    <xf numFmtId="0" fontId="323" fillId="33" borderId="153" xfId="0" applyFont="1" applyFill="1" applyBorder="1" applyAlignment="1">
      <alignment horizontal="center" vertical="center" wrapText="1"/>
    </xf>
    <xf numFmtId="9" fontId="325" fillId="33" borderId="154" xfId="0" applyNumberFormat="1" applyFont="1" applyFill="1" applyBorder="1" applyAlignment="1">
      <alignment horizontal="center" vertical="center" wrapText="1"/>
    </xf>
    <xf numFmtId="0" fontId="325" fillId="33" borderId="155" xfId="0" applyFont="1" applyFill="1" applyBorder="1" applyAlignment="1">
      <alignment horizontal="center" vertical="center" wrapText="1"/>
    </xf>
    <xf numFmtId="0" fontId="325" fillId="33" borderId="154" xfId="0" applyFont="1" applyFill="1" applyBorder="1" applyAlignment="1">
      <alignment horizontal="center" vertical="center" wrapText="1"/>
    </xf>
    <xf numFmtId="0" fontId="322" fillId="34" borderId="153" xfId="0" applyFont="1" applyFill="1" applyBorder="1" applyAlignment="1">
      <alignment horizontal="center" vertical="center" wrapText="1"/>
    </xf>
    <xf numFmtId="0" fontId="322"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3"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3" fillId="0" borderId="0" xfId="33" applyFont="1" applyAlignment="1" applyProtection="1">
      <alignment vertical="center"/>
      <protection locked="0"/>
    </xf>
    <xf numFmtId="0" fontId="326"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3"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2"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8"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6"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7" fillId="0" borderId="189" xfId="37" applyNumberFormat="1" applyFont="1" applyBorder="1" applyAlignment="1">
      <alignment horizontal="center" vertical="center"/>
    </xf>
    <xf numFmtId="0" fontId="111" fillId="0" borderId="188" xfId="37" applyFont="1" applyBorder="1" applyAlignment="1">
      <alignment vertical="center"/>
    </xf>
    <xf numFmtId="38" fontId="257"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9" fillId="0" borderId="186" xfId="37" applyNumberFormat="1" applyFont="1" applyBorder="1" applyAlignment="1">
      <alignment horizontal="center" vertical="center"/>
    </xf>
    <xf numFmtId="0" fontId="253" fillId="0" borderId="190" xfId="37" applyFont="1" applyBorder="1" applyAlignment="1">
      <alignment horizontal="right" vertical="center"/>
    </xf>
    <xf numFmtId="0" fontId="258" fillId="0" borderId="191" xfId="37" applyFont="1" applyBorder="1" applyAlignment="1">
      <alignment horizontal="center" vertical="center"/>
    </xf>
    <xf numFmtId="181" fontId="257"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6" fillId="0" borderId="186" xfId="37" applyFont="1" applyBorder="1" applyAlignment="1">
      <alignment vertical="center"/>
    </xf>
    <xf numFmtId="0" fontId="10" fillId="0" borderId="187" xfId="37" applyFont="1" applyBorder="1" applyAlignment="1">
      <alignment vertical="center"/>
    </xf>
    <xf numFmtId="0" fontId="253"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2" fillId="17" borderId="0" xfId="37" applyFont="1" applyFill="1" applyAlignment="1">
      <alignment horizontal="left" vertical="top"/>
    </xf>
    <xf numFmtId="0" fontId="263"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7" fillId="0" borderId="187" xfId="37" applyNumberFormat="1" applyFont="1" applyBorder="1" applyAlignment="1">
      <alignment horizontal="center" vertical="center"/>
    </xf>
    <xf numFmtId="181" fontId="257"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7"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4"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4" fillId="0" borderId="0" xfId="0" applyFont="1"/>
    <xf numFmtId="0" fontId="334" fillId="27" borderId="207" xfId="0" applyFont="1" applyFill="1" applyBorder="1" applyAlignment="1">
      <alignment horizontal="center"/>
    </xf>
    <xf numFmtId="0" fontId="334" fillId="27" borderId="207" xfId="0" applyFont="1" applyFill="1" applyBorder="1" applyAlignment="1">
      <alignment horizontal="center" vertical="center"/>
    </xf>
    <xf numFmtId="38" fontId="334" fillId="0" borderId="207" xfId="0" applyNumberFormat="1" applyFont="1" applyBorder="1" applyAlignment="1">
      <alignment horizontal="center"/>
    </xf>
    <xf numFmtId="10" fontId="334" fillId="0" borderId="207" xfId="0" applyNumberFormat="1" applyFont="1" applyBorder="1" applyAlignment="1">
      <alignment horizontal="center" vertical="center"/>
    </xf>
    <xf numFmtId="10" fontId="334" fillId="0" borderId="207" xfId="0" applyNumberFormat="1" applyFont="1" applyBorder="1" applyAlignment="1">
      <alignment horizontal="center"/>
    </xf>
    <xf numFmtId="0" fontId="194"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0" fontId="253" fillId="0" borderId="190" xfId="37" applyFont="1" applyBorder="1" applyAlignment="1">
      <alignment horizontal="center" vertical="center"/>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center"/>
    </xf>
    <xf numFmtId="0" fontId="206" fillId="0" borderId="4" xfId="33" applyFont="1" applyBorder="1" applyAlignment="1">
      <alignment horizontal="center"/>
    </xf>
    <xf numFmtId="0" fontId="206"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70"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8" fillId="0" borderId="221" xfId="0" applyFont="1" applyBorder="1" applyAlignment="1">
      <alignment horizontal="center" vertical="center"/>
    </xf>
    <xf numFmtId="164" fontId="188"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7" fillId="0" borderId="243" xfId="0" applyNumberFormat="1" applyFont="1" applyBorder="1" applyAlignment="1">
      <alignment horizontal="center" vertical="center"/>
    </xf>
    <xf numFmtId="10" fontId="217" fillId="0" borderId="244" xfId="0" applyNumberFormat="1" applyFont="1" applyBorder="1" applyAlignment="1">
      <alignment horizontal="center" vertical="center"/>
    </xf>
    <xf numFmtId="10" fontId="217"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3" fillId="0" borderId="229" xfId="37" applyNumberFormat="1" applyFont="1" applyBorder="1" applyAlignment="1">
      <alignment horizontal="center" vertical="center" wrapText="1"/>
    </xf>
    <xf numFmtId="38" fontId="258" fillId="0" borderId="258" xfId="37" applyNumberFormat="1" applyFont="1" applyBorder="1" applyAlignment="1">
      <alignment horizontal="center" vertical="center" wrapText="1"/>
    </xf>
    <xf numFmtId="38" fontId="258" fillId="0" borderId="228" xfId="37" applyNumberFormat="1" applyFont="1" applyBorder="1" applyAlignment="1">
      <alignment horizontal="center" vertical="center" wrapText="1"/>
    </xf>
    <xf numFmtId="38" fontId="258"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6" fillId="0" borderId="216" xfId="33" applyFont="1" applyBorder="1" applyAlignment="1">
      <alignment vertical="center"/>
    </xf>
    <xf numFmtId="0" fontId="206" fillId="0" borderId="217" xfId="33" applyFont="1" applyBorder="1" applyAlignment="1">
      <alignment horizontal="center" vertical="center"/>
    </xf>
    <xf numFmtId="0" fontId="206" fillId="0" borderId="220" xfId="33" applyFont="1" applyBorder="1" applyAlignment="1">
      <alignment vertical="center"/>
    </xf>
    <xf numFmtId="0" fontId="206" fillId="0" borderId="220" xfId="33" applyFont="1" applyBorder="1" applyAlignment="1">
      <alignment horizontal="center" vertical="center"/>
    </xf>
    <xf numFmtId="164" fontId="206" fillId="0" borderId="220" xfId="34" applyNumberFormat="1" applyFont="1" applyBorder="1" applyAlignment="1">
      <alignment horizontal="center" vertical="center"/>
    </xf>
    <xf numFmtId="0" fontId="208" fillId="0" borderId="220" xfId="33" applyFont="1" applyBorder="1" applyAlignment="1">
      <alignment vertical="center"/>
    </xf>
    <xf numFmtId="0" fontId="206" fillId="0" borderId="226" xfId="33" applyFont="1" applyBorder="1" applyAlignment="1">
      <alignment horizontal="center" vertical="center"/>
    </xf>
    <xf numFmtId="0" fontId="206" fillId="0" borderId="215" xfId="33" applyFont="1" applyBorder="1" applyAlignment="1">
      <alignment vertical="center"/>
    </xf>
    <xf numFmtId="0" fontId="206" fillId="0" borderId="239"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25" xfId="33" applyNumberFormat="1" applyFont="1" applyFill="1" applyBorder="1" applyAlignment="1" applyProtection="1">
      <alignment horizontal="center" vertical="center"/>
      <protection locked="0"/>
    </xf>
    <xf numFmtId="183" fontId="212" fillId="10" borderId="225" xfId="33" applyNumberFormat="1" applyFont="1" applyFill="1" applyBorder="1" applyAlignment="1" applyProtection="1">
      <alignment horizontal="center" vertical="center"/>
      <protection locked="0"/>
    </xf>
    <xf numFmtId="184" fontId="212" fillId="28" borderId="225" xfId="33" applyNumberFormat="1" applyFont="1" applyFill="1" applyBorder="1" applyAlignment="1">
      <alignment horizontal="center" vertical="center"/>
    </xf>
    <xf numFmtId="182" fontId="212" fillId="28" borderId="225" xfId="33" applyNumberFormat="1" applyFont="1" applyFill="1" applyBorder="1" applyAlignment="1">
      <alignment horizontal="center" vertical="center"/>
    </xf>
    <xf numFmtId="164" fontId="212" fillId="28" borderId="225" xfId="34" applyNumberFormat="1" applyFont="1" applyFill="1" applyBorder="1" applyAlignment="1">
      <alignment horizontal="center" vertical="center"/>
    </xf>
    <xf numFmtId="0" fontId="206" fillId="0" borderId="215" xfId="33" applyFont="1" applyBorder="1" applyAlignment="1">
      <alignment horizontal="right" vertical="center"/>
    </xf>
    <xf numFmtId="0" fontId="208" fillId="0" borderId="265" xfId="33" applyFont="1" applyBorder="1" applyAlignment="1">
      <alignment horizontal="right"/>
    </xf>
    <xf numFmtId="164" fontId="206" fillId="28" borderId="265" xfId="34" applyNumberFormat="1" applyFont="1" applyFill="1" applyBorder="1" applyAlignment="1">
      <alignment horizontal="center" vertical="center"/>
    </xf>
    <xf numFmtId="164" fontId="206" fillId="28" borderId="266" xfId="34" applyNumberFormat="1" applyFont="1" applyFill="1" applyBorder="1" applyAlignment="1">
      <alignment horizontal="center" vertical="center"/>
    </xf>
    <xf numFmtId="164" fontId="208" fillId="29" borderId="238" xfId="34" applyNumberFormat="1" applyFont="1" applyFill="1" applyBorder="1" applyAlignment="1">
      <alignment horizontal="center" vertical="center"/>
    </xf>
    <xf numFmtId="0" fontId="206" fillId="0" borderId="224" xfId="33" applyFont="1" applyBorder="1"/>
    <xf numFmtId="0" fontId="206" fillId="0" borderId="216" xfId="33" applyFont="1" applyBorder="1"/>
    <xf numFmtId="0" fontId="84" fillId="0" borderId="217" xfId="33" applyFont="1" applyBorder="1" applyAlignment="1">
      <alignment horizontal="center" wrapText="1"/>
    </xf>
    <xf numFmtId="182" fontId="206" fillId="28" borderId="225" xfId="33" applyNumberFormat="1" applyFont="1" applyFill="1" applyBorder="1" applyAlignment="1">
      <alignment horizontal="center" vertical="center"/>
    </xf>
    <xf numFmtId="0" fontId="206" fillId="28" borderId="225" xfId="33" applyFont="1" applyFill="1" applyBorder="1" applyAlignment="1">
      <alignment horizontal="center"/>
    </xf>
    <xf numFmtId="0" fontId="208" fillId="0" borderId="259" xfId="33" applyFont="1" applyBorder="1" applyAlignment="1">
      <alignment horizontal="center"/>
    </xf>
    <xf numFmtId="182" fontId="206" fillId="0" borderId="239" xfId="33" applyNumberFormat="1" applyFont="1" applyBorder="1" applyAlignment="1">
      <alignment horizontal="center"/>
    </xf>
    <xf numFmtId="0" fontId="208" fillId="0" borderId="239" xfId="33" applyFont="1" applyBorder="1" applyAlignment="1">
      <alignment horizontal="center"/>
    </xf>
    <xf numFmtId="0" fontId="208" fillId="0" borderId="239" xfId="33" applyFont="1" applyBorder="1"/>
    <xf numFmtId="0" fontId="208" fillId="0" borderId="239" xfId="33" applyFont="1" applyBorder="1" applyAlignment="1">
      <alignment horizontal="right"/>
    </xf>
    <xf numFmtId="164" fontId="208" fillId="29" borderId="238" xfId="34" applyNumberFormat="1" applyFont="1" applyFill="1" applyBorder="1" applyAlignment="1">
      <alignment horizontal="center"/>
    </xf>
    <xf numFmtId="0" fontId="206" fillId="0" borderId="268" xfId="33" applyFont="1" applyBorder="1" applyAlignment="1">
      <alignment horizontal="center"/>
    </xf>
    <xf numFmtId="0" fontId="206" fillId="0" borderId="215" xfId="33" applyFont="1" applyBorder="1"/>
    <xf numFmtId="164" fontId="206" fillId="28" borderId="266" xfId="34" applyNumberFormat="1" applyFont="1" applyFill="1" applyBorder="1"/>
    <xf numFmtId="164" fontId="206" fillId="28" borderId="265" xfId="34" applyNumberFormat="1" applyFont="1" applyFill="1" applyBorder="1"/>
    <xf numFmtId="0" fontId="206" fillId="0" borderId="259" xfId="33" applyFont="1" applyBorder="1" applyAlignment="1">
      <alignment horizontal="center"/>
    </xf>
    <xf numFmtId="0" fontId="206"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7"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6" fillId="11" borderId="217" xfId="33" applyFont="1" applyFill="1" applyBorder="1" applyAlignment="1">
      <alignment horizontal="center"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25" xfId="33" applyNumberFormat="1" applyFont="1" applyFill="1" applyBorder="1" applyAlignment="1" applyProtection="1">
      <alignment horizontal="center" vertical="center"/>
      <protection locked="0"/>
    </xf>
    <xf numFmtId="183" fontId="212"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0" fontId="131" fillId="0" borderId="210" xfId="37" applyFont="1" applyBorder="1" applyAlignment="1">
      <alignment horizontal="left" vertical="center"/>
    </xf>
    <xf numFmtId="0" fontId="131" fillId="0" borderId="0" xfId="37" applyFont="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2" fillId="0" borderId="9" xfId="37" applyFont="1" applyBorder="1" applyAlignment="1">
      <alignment horizontal="center"/>
    </xf>
    <xf numFmtId="0" fontId="10" fillId="0" borderId="9" xfId="37" applyFont="1" applyBorder="1" applyAlignment="1">
      <alignment horizontal="center"/>
    </xf>
    <xf numFmtId="0" fontId="10" fillId="0" borderId="9" xfId="37" applyFont="1" applyBorder="1" applyAlignment="1">
      <alignment horizontal="center" vertical="center"/>
    </xf>
    <xf numFmtId="0" fontId="10" fillId="0" borderId="0" xfId="37" applyFont="1" applyAlignment="1">
      <alignment horizontal="left" vertical="top" wrapText="1"/>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25" fillId="0" borderId="0" xfId="37" applyFont="1" applyAlignment="1">
      <alignment horizontal="center" vertical="center" wrapText="1"/>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10" fillId="0" borderId="0" xfId="37" applyFont="1" applyAlignment="1">
      <alignment horizontal="left" vertical="center" wrapText="1"/>
    </xf>
    <xf numFmtId="0" fontId="331"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0" fillId="5" borderId="141" xfId="37" applyFont="1" applyFill="1" applyBorder="1" applyAlignment="1" applyProtection="1">
      <alignment horizontal="center" vertical="center"/>
      <protection locked="0"/>
    </xf>
    <xf numFmtId="0" fontId="10" fillId="5" borderId="143"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0" borderId="0" xfId="37" applyFont="1" applyAlignment="1">
      <alignment horizontal="left" vertical="top"/>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0" fontId="10" fillId="0" borderId="0" xfId="37" quotePrefix="1" applyFont="1" applyAlignment="1">
      <alignment horizontal="left" vertical="center" wrapText="1"/>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0" fontId="251" fillId="8" borderId="218" xfId="37" applyFont="1" applyFill="1" applyBorder="1" applyAlignment="1">
      <alignment horizontal="center" vertical="center"/>
    </xf>
    <xf numFmtId="0" fontId="251" fillId="8" borderId="220" xfId="37" applyFont="1" applyFill="1" applyBorder="1" applyAlignment="1">
      <alignment horizontal="center" vertical="center"/>
    </xf>
    <xf numFmtId="0" fontId="251"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3" fillId="0" borderId="79" xfId="37" applyFont="1" applyBorder="1" applyAlignment="1">
      <alignment horizontal="center" vertical="center"/>
    </xf>
    <xf numFmtId="0" fontId="253" fillId="0" borderId="58" xfId="37" applyFont="1" applyBorder="1" applyAlignment="1">
      <alignment horizontal="center" vertical="center"/>
    </xf>
    <xf numFmtId="0" fontId="258" fillId="0" borderId="79" xfId="37" applyFont="1" applyBorder="1" applyAlignment="1">
      <alignment horizontal="center" vertical="center"/>
    </xf>
    <xf numFmtId="0" fontId="258" fillId="0" borderId="58" xfId="37" applyFont="1" applyBorder="1" applyAlignment="1">
      <alignment horizontal="center" vertical="center"/>
    </xf>
    <xf numFmtId="0" fontId="10" fillId="0" borderId="15" xfId="37" applyFont="1" applyBorder="1" applyAlignment="1">
      <alignment horizontal="center"/>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0" fontId="10" fillId="0" borderId="0" xfId="37" applyFont="1" applyAlignment="1">
      <alignment horizont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25" xfId="37" applyNumberFormat="1" applyFont="1" applyBorder="1" applyAlignment="1">
      <alignment horizontal="center" vertical="center"/>
    </xf>
    <xf numFmtId="38" fontId="10" fillId="0" borderId="42" xfId="37" applyNumberFormat="1" applyFont="1" applyBorder="1" applyAlignment="1">
      <alignment horizontal="center" vertical="center"/>
    </xf>
    <xf numFmtId="38" fontId="10" fillId="0" borderId="26"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39" fillId="0" borderId="0" xfId="37" applyFont="1" applyAlignment="1">
      <alignment horizontal="center" vertical="top" wrapText="1"/>
    </xf>
    <xf numFmtId="0" fontId="39" fillId="0" borderId="0" xfId="37" applyFont="1" applyAlignment="1">
      <alignment horizontal="center" vertical="top"/>
    </xf>
    <xf numFmtId="10" fontId="253" fillId="0" borderId="141" xfId="37" applyNumberFormat="1" applyFont="1" applyBorder="1" applyAlignment="1">
      <alignment horizontal="center" vertical="center"/>
    </xf>
    <xf numFmtId="10" fontId="253"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21" xfId="37" applyFont="1"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10" fillId="5" borderId="25" xfId="37"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94" fillId="0" borderId="0" xfId="37" applyFont="1" applyAlignment="1">
      <alignment horizontal="center" vertical="center"/>
    </xf>
    <xf numFmtId="0" fontId="10" fillId="17" borderId="0" xfId="37" applyFont="1" applyFill="1" applyAlignment="1">
      <alignment horizontal="center" vertical="center"/>
    </xf>
    <xf numFmtId="0" fontId="10" fillId="0" borderId="0" xfId="37" applyFont="1" applyAlignment="1">
      <alignment horizontal="center" wrapText="1"/>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2" xfId="37" applyNumberFormat="1" applyFont="1" applyFill="1" applyBorder="1" applyAlignment="1" applyProtection="1">
      <alignment horizontal="left" vertical="center"/>
      <protection locked="0"/>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14" fontId="10" fillId="5" borderId="200" xfId="37" applyNumberFormat="1"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80" fillId="0" borderId="5" xfId="33" applyFont="1" applyBorder="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3" fontId="10" fillId="10" borderId="225" xfId="37" applyNumberFormat="1" applyFont="1" applyFill="1" applyBorder="1" applyAlignment="1" applyProtection="1">
      <alignment horizontal="center" vertical="center"/>
      <protection locked="0"/>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0" fontId="10" fillId="0" borderId="0" xfId="37" applyFont="1" applyAlignment="1">
      <alignment horizontal="center" vertical="center"/>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0" xfId="37" applyAlignment="1">
      <alignment horizontal="left" vertical="center"/>
    </xf>
    <xf numFmtId="0" fontId="4" fillId="0" borderId="162" xfId="37" applyBorder="1" applyAlignment="1">
      <alignment horizontal="left" vertical="center"/>
    </xf>
    <xf numFmtId="181" fontId="259" fillId="0" borderId="186" xfId="37" applyNumberFormat="1" applyFont="1" applyBorder="1" applyAlignment="1">
      <alignment horizontal="center"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181" fontId="259" fillId="0" borderId="0" xfId="37" applyNumberFormat="1" applyFont="1" applyAlignment="1">
      <alignment horizontal="center"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3" fillId="0" borderId="41" xfId="37" applyFont="1" applyBorder="1" applyAlignment="1">
      <alignment horizontal="center" vertical="center"/>
    </xf>
    <xf numFmtId="0" fontId="253" fillId="0" borderId="1" xfId="37" applyFont="1" applyBorder="1" applyAlignment="1">
      <alignment horizontal="center" vertical="center"/>
    </xf>
    <xf numFmtId="0" fontId="253" fillId="0" borderId="27" xfId="37" applyFont="1" applyBorder="1" applyAlignment="1">
      <alignment horizontal="center" vertical="center"/>
    </xf>
    <xf numFmtId="0" fontId="258" fillId="0" borderId="41" xfId="37" applyFont="1" applyBorder="1" applyAlignment="1">
      <alignment horizontal="center" vertical="center"/>
    </xf>
    <xf numFmtId="0" fontId="258" fillId="0" borderId="1" xfId="37" applyFont="1" applyBorder="1" applyAlignment="1">
      <alignment horizontal="center" vertical="center"/>
    </xf>
    <xf numFmtId="0" fontId="258"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258" fillId="0" borderId="218" xfId="37" applyFont="1" applyBorder="1" applyAlignment="1">
      <alignment horizontal="center" vertical="center" wrapText="1"/>
    </xf>
    <xf numFmtId="0" fontId="258" fillId="0" borderId="219"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253" fillId="0" borderId="218" xfId="37" applyFont="1" applyBorder="1" applyAlignment="1">
      <alignment horizontal="center" vertical="center" wrapText="1"/>
    </xf>
    <xf numFmtId="0" fontId="253" fillId="0" borderId="219" xfId="37" applyFont="1" applyBorder="1" applyAlignment="1">
      <alignment horizontal="center" vertical="center" wrapText="1"/>
    </xf>
    <xf numFmtId="0" fontId="258" fillId="0" borderId="217" xfId="37" applyFont="1" applyBorder="1" applyAlignment="1">
      <alignment horizontal="center" vertical="center" wrapText="1"/>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181" fontId="259" fillId="0" borderId="193" xfId="37" applyNumberFormat="1" applyFont="1" applyBorder="1" applyAlignment="1">
      <alignment horizontal="center" vertical="center"/>
    </xf>
    <xf numFmtId="181" fontId="259" fillId="0" borderId="194" xfId="37" applyNumberFormat="1" applyFont="1" applyBorder="1" applyAlignment="1">
      <alignment horizontal="center" vertical="center"/>
    </xf>
    <xf numFmtId="181" fontId="259" fillId="0" borderId="183" xfId="37" applyNumberFormat="1" applyFont="1" applyBorder="1" applyAlignment="1">
      <alignment horizontal="center" vertical="center"/>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9" fillId="0" borderId="159" xfId="37" applyNumberFormat="1" applyFont="1" applyBorder="1" applyAlignment="1">
      <alignment horizontal="center" vertical="center"/>
    </xf>
    <xf numFmtId="0" fontId="253" fillId="0" borderId="190" xfId="37" applyFont="1" applyBorder="1" applyAlignment="1">
      <alignment horizontal="center" vertical="center"/>
    </xf>
    <xf numFmtId="0" fontId="10" fillId="0" borderId="0" xfId="37" applyFont="1" applyAlignment="1">
      <alignment horizontal="left" vertical="center"/>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31" fillId="0" borderId="0" xfId="37" applyFont="1" applyAlignment="1">
      <alignment horizontal="center" vertical="center"/>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4" fillId="0" borderId="188" xfId="37" applyBorder="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3" fillId="0" borderId="0" xfId="0" applyFont="1" applyAlignment="1">
      <alignment horizontal="center"/>
    </xf>
    <xf numFmtId="0" fontId="25" fillId="0" borderId="0" xfId="37" applyFont="1" applyAlignment="1">
      <alignment horizontal="left" vertical="top"/>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5"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15" xfId="0" applyFont="1" applyFill="1" applyBorder="1" applyAlignment="1">
      <alignment horizontal="center" vertical="center" wrapText="1"/>
    </xf>
    <xf numFmtId="0" fontId="214" fillId="20" borderId="216"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42" fillId="0" borderId="26" xfId="0" applyFont="1" applyBorder="1" applyProtection="1">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0" borderId="0" xfId="0" applyFont="1" applyAlignment="1">
      <alignment horizontal="right" vertical="center" wrapText="1"/>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0" fontId="39" fillId="5" borderId="123"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42" fillId="0" borderId="9" xfId="0" applyFont="1" applyBorder="1" applyAlignment="1">
      <alignment horizontal="left" vertical="center"/>
    </xf>
    <xf numFmtId="0" fontId="42" fillId="5" borderId="221" xfId="0" applyFont="1" applyFill="1" applyBorder="1" applyAlignment="1" applyProtection="1">
      <alignment horizontal="left" vertical="center" wrapText="1"/>
      <protection locked="0"/>
    </xf>
    <xf numFmtId="0" fontId="42" fillId="5" borderId="222"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9" fillId="0" borderId="0" xfId="0" applyFont="1" applyAlignment="1">
      <alignment horizontal="left"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42" fillId="0" borderId="4" xfId="0" applyFont="1" applyBorder="1" applyAlignment="1">
      <alignment vertical="center"/>
    </xf>
    <xf numFmtId="0" fontId="42" fillId="0" borderId="0" xfId="0" applyFont="1" applyAlignment="1">
      <alignmen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9" xfId="0" applyFont="1" applyBorder="1" applyAlignment="1">
      <alignment horizontal="center"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0" fontId="42" fillId="0" borderId="224" xfId="0" applyFont="1" applyBorder="1" applyAlignment="1">
      <alignment vertical="center"/>
    </xf>
    <xf numFmtId="0" fontId="42" fillId="0" borderId="215" xfId="0" applyFont="1" applyBorder="1" applyAlignment="1">
      <alignment vertical="center"/>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9" fillId="0" borderId="0" xfId="0" applyFont="1" applyAlignment="1">
      <alignment horizontal="left"/>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0" fontId="42" fillId="0" borderId="5" xfId="0" applyFont="1" applyBorder="1" applyAlignment="1">
      <alignment vertical="center"/>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0" borderId="216" xfId="0" applyFont="1" applyBorder="1" applyAlignment="1">
      <alignment vertical="center"/>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0" xfId="0" applyFont="1" applyBorder="1" applyAlignment="1">
      <alignment horizontal="center" vertical="center"/>
    </xf>
    <xf numFmtId="38" fontId="42" fillId="0" borderId="220" xfId="2" applyNumberFormat="1" applyFont="1" applyFill="1" applyBorder="1" applyAlignment="1" applyProtection="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0" fontId="37" fillId="0" borderId="0" xfId="0" applyFont="1" applyAlignment="1">
      <alignment horizontal="left" vertical="center" wrapText="1"/>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14"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center" vertical="top" wrapText="1"/>
    </xf>
    <xf numFmtId="8" fontId="4" fillId="0" borderId="215" xfId="0" applyNumberFormat="1" applyFont="1" applyBorder="1" applyAlignment="1">
      <alignment horizontal="center"/>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50" fillId="0" borderId="0" xfId="0" applyFont="1" applyAlignment="1">
      <alignment horizontal="left"/>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164" fontId="42" fillId="0" borderId="0" xfId="1" applyNumberFormat="1" applyFont="1" applyFill="1" applyBorder="1" applyAlignment="1" applyProtection="1">
      <alignment horizontal="center" vertical="center"/>
    </xf>
    <xf numFmtId="0" fontId="42" fillId="0" borderId="30" xfId="0" applyFont="1" applyBorder="1" applyAlignment="1">
      <alignment horizontal="center" vertical="center" wrapText="1"/>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0" fontId="202" fillId="0" borderId="0" xfId="0" applyFont="1" applyAlignment="1">
      <alignment horizontal="center" wrapText="1"/>
    </xf>
    <xf numFmtId="164" fontId="42" fillId="5" borderId="217"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42" fillId="0" borderId="221" xfId="0" applyNumberFormat="1" applyFont="1" applyBorder="1" applyAlignment="1">
      <alignment horizontal="center" vertical="center"/>
    </xf>
    <xf numFmtId="38" fontId="42" fillId="0" borderId="223" xfId="0" applyNumberFormat="1" applyFont="1" applyBorder="1" applyAlignment="1">
      <alignment horizontal="center" vertical="center"/>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38" fontId="42" fillId="0" borderId="220"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42" fillId="0" borderId="222"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0" xfId="0" applyNumberFormat="1" applyFont="1" applyBorder="1" applyAlignment="1">
      <alignment horizontal="center" vertical="center"/>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334" fillId="0" borderId="141" xfId="0" applyFont="1" applyBorder="1" applyAlignment="1">
      <alignment horizontal="center" vertical="center"/>
    </xf>
    <xf numFmtId="0" fontId="334" fillId="0" borderId="144" xfId="0" applyFont="1" applyBorder="1" applyAlignment="1">
      <alignment horizontal="center" vertical="center"/>
    </xf>
    <xf numFmtId="0" fontId="39" fillId="0" borderId="164" xfId="0" applyFont="1" applyBorder="1" applyAlignment="1">
      <alignment horizontal="center" vertical="center"/>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269" fillId="0" borderId="0" xfId="0" applyFont="1" applyAlignment="1">
      <alignment horizontal="center" vertical="center" wrapText="1"/>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0" fontId="92"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92" fillId="0" borderId="0" xfId="0" applyFont="1" applyAlignment="1">
      <alignment horizontal="center" vertical="center" wrapText="1"/>
    </xf>
    <xf numFmtId="0" fontId="187" fillId="0" borderId="224" xfId="0" applyFont="1" applyBorder="1" applyAlignment="1">
      <alignment horizontal="center" vertical="center"/>
    </xf>
    <xf numFmtId="0" fontId="187" fillId="0" borderId="216" xfId="0" applyFont="1" applyBorder="1" applyAlignment="1">
      <alignment horizontal="center" vertical="center"/>
    </xf>
    <xf numFmtId="164" fontId="187" fillId="0" borderId="215"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12" fillId="0" borderId="0" xfId="0" applyFont="1" applyAlignment="1">
      <alignment horizontal="left" vertic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1" fillId="0" borderId="0" xfId="0" applyFont="1" applyAlignment="1">
      <alignment horizontal="center" wrapText="1"/>
    </xf>
    <xf numFmtId="0" fontId="11" fillId="0" borderId="9" xfId="0" applyFont="1" applyBorder="1" applyAlignment="1">
      <alignment horizontal="center" wrapText="1"/>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164" fontId="14" fillId="11" borderId="217" xfId="0" applyNumberFormat="1" applyFont="1" applyFill="1" applyBorder="1" applyAlignment="1" applyProtection="1">
      <alignment horizontal="center" vertical="center"/>
      <protection locked="0"/>
    </xf>
    <xf numFmtId="0" fontId="4" fillId="0" borderId="0" xfId="0" applyFont="1" applyAlignment="1">
      <alignment horizont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0" fillId="5" borderId="25" xfId="33" applyFont="1" applyFill="1" applyBorder="1" applyAlignment="1" applyProtection="1">
      <alignment horizontal="left" vertical="center" wrapText="1"/>
      <protection locked="0"/>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1"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0" fontId="25" fillId="13" borderId="218" xfId="33" applyFont="1" applyFill="1" applyBorder="1" applyAlignment="1">
      <alignment horizontal="center" vertical="center"/>
    </xf>
    <xf numFmtId="0" fontId="25" fillId="13" borderId="220" xfId="33" applyFont="1" applyFill="1" applyBorder="1" applyAlignment="1">
      <alignment horizontal="center" vertical="center"/>
    </xf>
    <xf numFmtId="0" fontId="25" fillId="13" borderId="219" xfId="33" applyFont="1" applyFill="1" applyBorder="1" applyAlignment="1">
      <alignment horizontal="center" vertical="center"/>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219" xfId="33" applyFont="1" applyFill="1" applyBorder="1" applyAlignment="1" applyProtection="1">
      <alignment horizontal="left"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0" borderId="0" xfId="33" applyFont="1" applyAlignment="1">
      <alignment horizontal="left" vertical="center" wrapText="1"/>
    </xf>
    <xf numFmtId="0" fontId="10" fillId="5" borderId="141" xfId="33" applyFont="1" applyFill="1" applyBorder="1" applyAlignment="1" applyProtection="1">
      <alignment horizontal="left" vertical="top" wrapText="1"/>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1" xfId="33" applyFont="1" applyFill="1" applyBorder="1" applyAlignment="1">
      <alignment horizontal="left" vertical="center" wrapText="1"/>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17" xfId="33" applyFont="1" applyFill="1" applyBorder="1" applyAlignment="1">
      <alignment horizontal="center" vertical="center"/>
    </xf>
    <xf numFmtId="0" fontId="10" fillId="0" borderId="5" xfId="33" applyFont="1" applyBorder="1" applyAlignment="1">
      <alignment horizontal="left" vertical="center" wrapText="1"/>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10" fillId="5" borderId="248"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26" xfId="33" applyFont="1" applyFill="1" applyBorder="1" applyAlignment="1">
      <alignment horizontal="center" vertical="center"/>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29" fillId="8" borderId="218" xfId="33" applyFont="1" applyFill="1" applyBorder="1" applyAlignment="1">
      <alignment horizontal="center" vertical="center"/>
    </xf>
    <xf numFmtId="0" fontId="244"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25" fillId="13" borderId="248" xfId="33" applyFont="1" applyFill="1" applyBorder="1" applyAlignment="1">
      <alignment horizontal="center" vertical="center"/>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21" xfId="33" applyFont="1" applyFill="1" applyBorder="1" applyAlignment="1" applyProtection="1">
      <alignment horizontal="center" vertical="center"/>
      <protection locked="0"/>
    </xf>
    <xf numFmtId="0" fontId="25" fillId="5" borderId="249" xfId="33" applyFont="1" applyFill="1" applyBorder="1" applyAlignment="1" applyProtection="1">
      <alignment horizontal="center" vertical="center"/>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10" fillId="0" borderId="0" xfId="33" applyFont="1" applyAlignment="1">
      <alignment horizontal="right" vertical="center"/>
    </xf>
    <xf numFmtId="0" fontId="25" fillId="5" borderId="218"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5" borderId="223" xfId="33" applyFont="1" applyFill="1" applyBorder="1" applyAlignment="1" applyProtection="1">
      <alignment horizontal="center" vertical="center"/>
      <protection locked="0"/>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25" fillId="13" borderId="243" xfId="33" applyFont="1" applyFill="1" applyBorder="1" applyAlignment="1">
      <alignment horizontal="center" vertical="center"/>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5" borderId="22"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5" xfId="33" applyFont="1" applyFill="1" applyBorder="1" applyAlignment="1" applyProtection="1">
      <alignment horizontal="center" vertical="center"/>
      <protection locked="0"/>
    </xf>
    <xf numFmtId="0" fontId="25" fillId="5" borderId="147" xfId="33" applyFont="1" applyFill="1" applyBorder="1" applyAlignment="1" applyProtection="1">
      <alignment horizontal="center" vertical="center"/>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330" fillId="0" borderId="0" xfId="33" applyFont="1" applyAlignment="1">
      <alignment horizontal="justify" vertical="top" wrapText="1"/>
    </xf>
    <xf numFmtId="0" fontId="10" fillId="0" borderId="0" xfId="33" applyFont="1" applyAlignment="1">
      <alignment horizontal="justify" vertical="top" wrapText="1"/>
    </xf>
    <xf numFmtId="0" fontId="249"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10" fillId="5" borderId="251"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13" xfId="33" applyFont="1" applyFill="1" applyBorder="1" applyAlignment="1" applyProtection="1">
      <alignment horizontal="left" vertical="top" wrapText="1"/>
      <protection locked="0"/>
    </xf>
    <xf numFmtId="0" fontId="25" fillId="5" borderId="220"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25" fillId="5" borderId="23" xfId="33" applyFont="1" applyFill="1" applyBorder="1" applyAlignment="1" applyProtection="1">
      <alignment horizontal="center" vertical="center"/>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25" fillId="5" borderId="13" xfId="33" applyFont="1" applyFill="1" applyBorder="1" applyAlignment="1" applyProtection="1">
      <alignment horizontal="center" vertical="top"/>
      <protection locked="0"/>
    </xf>
    <xf numFmtId="0" fontId="10" fillId="0" borderId="0" xfId="33" applyFont="1" applyAlignment="1">
      <alignment vertical="center"/>
    </xf>
    <xf numFmtId="0" fontId="10" fillId="0" borderId="0" xfId="33" applyFont="1" applyAlignment="1">
      <alignment vertical="center" wrapText="1"/>
    </xf>
    <xf numFmtId="0" fontId="25" fillId="5" borderId="26" xfId="33" applyFont="1" applyFill="1" applyBorder="1" applyAlignment="1" applyProtection="1">
      <alignment horizontal="center" vertical="center"/>
      <protection locked="0"/>
    </xf>
    <xf numFmtId="0" fontId="25" fillId="5" borderId="217" xfId="33" applyFont="1" applyFill="1" applyBorder="1" applyAlignment="1" applyProtection="1">
      <alignment horizontal="center" vertical="center"/>
      <protection locked="0"/>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center"/>
      <protection locked="0"/>
    </xf>
    <xf numFmtId="0" fontId="10" fillId="0" borderId="5" xfId="33" applyFont="1" applyBorder="1" applyAlignment="1">
      <alignment horizontal="justify" vertical="top" wrapText="1"/>
    </xf>
    <xf numFmtId="0" fontId="25" fillId="5" borderId="252" xfId="33" applyFont="1" applyFill="1" applyBorder="1" applyAlignment="1" applyProtection="1">
      <alignment horizontal="center" vertical="center"/>
      <protection locked="0"/>
    </xf>
    <xf numFmtId="0" fontId="324" fillId="33" borderId="156" xfId="0" applyFont="1" applyFill="1" applyBorder="1" applyAlignment="1">
      <alignment horizontal="center" vertical="center" wrapText="1"/>
    </xf>
    <xf numFmtId="0" fontId="324" fillId="33" borderId="151" xfId="0" applyFont="1" applyFill="1" applyBorder="1" applyAlignment="1">
      <alignment horizontal="center" vertical="center" wrapText="1"/>
    </xf>
    <xf numFmtId="0" fontId="324"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left"/>
    </xf>
    <xf numFmtId="0" fontId="71" fillId="0" borderId="0" xfId="13" applyFont="1" applyAlignment="1">
      <alignment horizontal="justify" vertical="center" wrapText="1"/>
    </xf>
    <xf numFmtId="0" fontId="71" fillId="0" borderId="0" xfId="13" applyFont="1" applyAlignment="1">
      <alignment horizontal="justify" vertical="top" wrapText="1"/>
    </xf>
    <xf numFmtId="0" fontId="71" fillId="0" borderId="9" xfId="13" applyFont="1" applyBorder="1" applyAlignment="1" applyProtection="1">
      <alignment horizontal="left"/>
      <protection locked="0"/>
    </xf>
    <xf numFmtId="0" fontId="39" fillId="0" borderId="215" xfId="13" applyFont="1" applyBorder="1" applyAlignment="1">
      <alignment horizontal="center" vertical="top"/>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0" xfId="13" applyFont="1" applyAlignment="1">
      <alignment horizont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21" xfId="34" applyNumberFormat="1" applyFont="1" applyBorder="1" applyAlignment="1">
      <alignment horizontal="left" vertical="center"/>
    </xf>
    <xf numFmtId="164" fontId="206" fillId="0" borderId="222"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59" xfId="33" applyFont="1" applyFill="1" applyBorder="1" applyAlignment="1">
      <alignment horizontal="center" wrapText="1"/>
    </xf>
    <xf numFmtId="0" fontId="207" fillId="28" borderId="260"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21"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0" xfId="33" applyFont="1" applyBorder="1" applyAlignment="1">
      <alignment horizontal="center" vertical="center"/>
    </xf>
    <xf numFmtId="0" fontId="208" fillId="0" borderId="262" xfId="33" applyFont="1" applyBorder="1" applyAlignment="1">
      <alignment horizontal="left" vertical="center"/>
    </xf>
    <xf numFmtId="0" fontId="208" fillId="0" borderId="220" xfId="33" applyFont="1" applyBorder="1" applyAlignment="1">
      <alignment horizontal="left" vertical="center"/>
    </xf>
    <xf numFmtId="0" fontId="208" fillId="0" borderId="261" xfId="33" applyFont="1" applyBorder="1" applyAlignment="1">
      <alignment horizontal="left" vertical="center"/>
    </xf>
    <xf numFmtId="164" fontId="208" fillId="10" borderId="218" xfId="34" applyNumberFormat="1" applyFont="1" applyFill="1" applyBorder="1" applyAlignment="1" applyProtection="1">
      <alignment horizontal="center" vertical="center"/>
      <protection locked="0"/>
    </xf>
    <xf numFmtId="164" fontId="208" fillId="10" borderId="261" xfId="34" applyNumberFormat="1" applyFont="1" applyFill="1" applyBorder="1" applyAlignment="1" applyProtection="1">
      <alignment horizontal="center" vertical="center"/>
      <protection locked="0"/>
    </xf>
    <xf numFmtId="164" fontId="206" fillId="10" borderId="221"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166" fontId="206" fillId="28" borderId="232" xfId="35" applyNumberFormat="1" applyFont="1" applyFill="1" applyBorder="1" applyAlignment="1">
      <alignment horizontal="center" vertical="center"/>
    </xf>
    <xf numFmtId="166" fontId="206" fillId="28" borderId="260" xfId="35" applyNumberFormat="1" applyFont="1" applyFill="1" applyBorder="1" applyAlignment="1">
      <alignment horizontal="center" vertical="center"/>
    </xf>
    <xf numFmtId="0" fontId="207" fillId="0" borderId="218" xfId="33" applyFont="1" applyBorder="1" applyAlignment="1">
      <alignment horizontal="left"/>
    </xf>
    <xf numFmtId="0" fontId="207" fillId="0" borderId="220" xfId="33" applyFont="1" applyBorder="1" applyAlignment="1">
      <alignment horizontal="left"/>
    </xf>
    <xf numFmtId="0" fontId="207" fillId="0" borderId="219" xfId="33" applyFont="1" applyBorder="1" applyAlignment="1">
      <alignment horizontal="left"/>
    </xf>
    <xf numFmtId="0" fontId="207" fillId="10" borderId="217" xfId="33" applyFont="1" applyFill="1" applyBorder="1" applyAlignment="1">
      <alignment horizontal="center"/>
    </xf>
    <xf numFmtId="0" fontId="207" fillId="28" borderId="218" xfId="33" applyFont="1" applyFill="1" applyBorder="1" applyAlignment="1">
      <alignment horizontal="center"/>
    </xf>
    <xf numFmtId="0" fontId="207" fillId="28" borderId="220" xfId="33" applyFont="1" applyFill="1" applyBorder="1" applyAlignment="1">
      <alignment horizontal="center"/>
    </xf>
    <xf numFmtId="0" fontId="207"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0" fontId="210" fillId="0" borderId="0" xfId="33" applyFont="1" applyAlignment="1">
      <alignment horizontal="center" vertical="center" wrapText="1"/>
    </xf>
    <xf numFmtId="37" fontId="212" fillId="10" borderId="221" xfId="34" applyNumberFormat="1" applyFont="1" applyFill="1" applyBorder="1" applyAlignment="1" applyProtection="1">
      <alignment horizontal="center" vertical="center"/>
      <protection locked="0"/>
    </xf>
    <xf numFmtId="37" fontId="212" fillId="10" borderId="223" xfId="34" applyNumberFormat="1" applyFont="1" applyFill="1" applyBorder="1" applyAlignment="1" applyProtection="1">
      <alignment horizontal="center" vertical="center"/>
      <protection locked="0"/>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206" fillId="0" borderId="0" xfId="33" applyFont="1" applyAlignment="1">
      <alignment horizontal="center"/>
    </xf>
    <xf numFmtId="0" fontId="208" fillId="29" borderId="218" xfId="33" applyFont="1" applyFill="1" applyBorder="1" applyAlignment="1">
      <alignment horizontal="left"/>
    </xf>
    <xf numFmtId="0" fontId="208" fillId="29" borderId="220" xfId="33" applyFont="1" applyFill="1" applyBorder="1" applyAlignment="1">
      <alignment horizontal="left"/>
    </xf>
    <xf numFmtId="0" fontId="208" fillId="29" borderId="219" xfId="33" applyFont="1" applyFill="1" applyBorder="1" applyAlignment="1">
      <alignment horizontal="left"/>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6" fillId="0" borderId="267" xfId="33" applyFont="1" applyBorder="1"/>
    <xf numFmtId="0" fontId="206" fillId="0" borderId="36" xfId="33" applyFont="1" applyBorder="1"/>
    <xf numFmtId="0" fontId="206" fillId="28" borderId="222" xfId="33" applyFont="1" applyFill="1" applyBorder="1" applyAlignment="1">
      <alignment horizontal="center" vertical="center"/>
    </xf>
    <xf numFmtId="0" fontId="206" fillId="28" borderId="223" xfId="33" applyFont="1" applyFill="1" applyBorder="1" applyAlignment="1">
      <alignment horizontal="center" vertical="center"/>
    </xf>
    <xf numFmtId="37" fontId="206" fillId="13" borderId="222" xfId="34" applyNumberFormat="1" applyFont="1" applyFill="1" applyBorder="1" applyAlignment="1" applyProtection="1">
      <alignment horizontal="center" vertical="center"/>
    </xf>
    <xf numFmtId="37" fontId="206" fillId="13" borderId="223" xfId="34" applyNumberFormat="1" applyFont="1" applyFill="1" applyBorder="1" applyAlignment="1" applyProtection="1">
      <alignment horizontal="center" vertical="center"/>
    </xf>
    <xf numFmtId="37" fontId="206" fillId="28" borderId="225" xfId="33" applyNumberFormat="1" applyFont="1" applyFill="1" applyBorder="1" applyAlignment="1">
      <alignment horizontal="center"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28" borderId="12" xfId="33" applyNumberFormat="1" applyFont="1" applyFill="1" applyBorder="1" applyAlignment="1">
      <alignment horizontal="center" vertical="center"/>
    </xf>
    <xf numFmtId="0" fontId="208" fillId="0" borderId="239" xfId="33" applyFont="1" applyBorder="1" applyAlignment="1">
      <alignment horizontal="right"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201"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9" fontId="39" fillId="0" borderId="12"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0" fontId="196"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11" fillId="13" borderId="224" xfId="0" applyFont="1" applyFill="1" applyBorder="1" applyAlignment="1">
      <alignment horizontal="center" vertical="center"/>
    </xf>
    <xf numFmtId="0" fontId="11" fillId="13" borderId="219" xfId="0" applyFont="1" applyFill="1" applyBorder="1" applyAlignment="1">
      <alignment horizontal="center" vertical="center"/>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1" fillId="13" borderId="218" xfId="0" applyFont="1" applyFill="1" applyBorder="1" applyAlignment="1">
      <alignment horizontal="center" vertical="center"/>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5" xfId="0"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5" fillId="0" borderId="0" xfId="0" applyFont="1" applyAlignment="1">
      <alignment horizont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5" fillId="0" borderId="5" xfId="0" applyFont="1" applyBorder="1" applyAlignment="1">
      <alignment horizontal="left" vertical="top" wrapText="1"/>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0" fontId="15" fillId="5" borderId="13" xfId="0" applyFont="1" applyFill="1" applyBorder="1" applyAlignment="1" applyProtection="1">
      <alignment horizontal="left"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87" fillId="0" borderId="0" xfId="0" applyFont="1" applyAlignment="1">
      <alignment horizontal="center" wrapText="1"/>
    </xf>
    <xf numFmtId="0" fontId="87" fillId="0" borderId="9" xfId="0" applyFont="1" applyBorder="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12"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5" fillId="0" borderId="0" xfId="0" applyFont="1" applyAlignment="1">
      <alignment horizontal="left" vertical="center" wrapText="1"/>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15" fillId="0" borderId="0" xfId="0" applyFont="1" applyAlignment="1">
      <alignment horizontal="left" vertical="top" wrapText="1"/>
    </xf>
    <xf numFmtId="0" fontId="5" fillId="0" borderId="0" xfId="0" applyFont="1" applyAlignment="1">
      <alignment horizontal="left" wrapText="1"/>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145" fillId="0" borderId="0" xfId="0" applyFont="1" applyAlignment="1">
      <alignment horizontal="left" vertical="top" wrapText="1"/>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97" fillId="20" borderId="0" xfId="0" applyFont="1" applyFill="1" applyAlignment="1">
      <alignment horizontal="left" vertical="top" wrapText="1"/>
    </xf>
    <xf numFmtId="0" fontId="38" fillId="0" borderId="0" xfId="0" applyFont="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5" fillId="0" borderId="9" xfId="0" applyFont="1" applyBorder="1" applyAlignment="1">
      <alignment horizontal="left" wrapText="1"/>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3" fontId="41" fillId="0" borderId="0" xfId="0" applyNumberFormat="1" applyFont="1" applyAlignment="1">
      <alignment horizontal="center" vertic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52" xfId="0" applyFont="1" applyFill="1" applyBorder="1" applyAlignment="1" applyProtection="1">
      <alignment horizontal="center" vertical="center"/>
      <protection locked="0"/>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18" xfId="0" applyNumberFormat="1" applyFont="1" applyBorder="1" applyAlignment="1">
      <alignment horizontal="center" vertical="center"/>
    </xf>
    <xf numFmtId="38" fontId="4" fillId="0" borderId="220" xfId="0" applyNumberFormat="1" applyFont="1" applyBorder="1" applyAlignment="1">
      <alignment horizontal="center" vertical="center"/>
    </xf>
    <xf numFmtId="38" fontId="4" fillId="0" borderId="219"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7" fillId="0" borderId="0" xfId="0" applyFont="1" applyAlignment="1">
      <alignment horizont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109" fillId="0" borderId="0" xfId="0" applyFont="1" applyAlignment="1">
      <alignment horizontal="center" vertical="center" wrapText="1"/>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41" fillId="0" borderId="0" xfId="0" applyFont="1" applyAlignment="1">
      <alignment horizont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28" xfId="0" applyFont="1" applyBorder="1" applyAlignment="1">
      <alignment horizontal="center" vertical="center"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38" fontId="9" fillId="5" borderId="12" xfId="0" applyNumberFormat="1" applyFont="1" applyFill="1" applyBorder="1" applyAlignment="1" applyProtection="1">
      <alignment horizontal="center" vertical="center"/>
      <protection locked="0"/>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233" fillId="0" borderId="0" xfId="0" applyFont="1" applyAlignment="1">
      <alignment horizontal="left" vertical="top" wrapText="1"/>
    </xf>
    <xf numFmtId="0" fontId="109" fillId="20" borderId="0" xfId="0" applyFont="1" applyFill="1" applyAlignment="1">
      <alignment horizontal="left" vertical="center" wrapText="1"/>
    </xf>
    <xf numFmtId="0" fontId="204"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0" fillId="7" borderId="0" xfId="13" applyFont="1" applyFill="1" applyAlignment="1">
      <alignment horizontal="justify" vertical="top" wrapText="1"/>
    </xf>
    <xf numFmtId="0" fontId="127" fillId="10" borderId="30" xfId="13" applyFont="1" applyFill="1" applyBorder="1" applyAlignment="1">
      <alignment horizontal="left" vertical="top" wrapText="1"/>
    </xf>
    <xf numFmtId="0" fontId="127" fillId="10" borderId="0" xfId="13" applyFont="1" applyFill="1" applyAlignment="1">
      <alignment horizontal="lef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180" fontId="112" fillId="0" borderId="0" xfId="13" applyNumberFormat="1" applyFont="1" applyAlignment="1">
      <alignment horizontal="left" vertical="center"/>
    </xf>
    <xf numFmtId="0" fontId="112" fillId="0" borderId="0" xfId="13"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0" fontId="112" fillId="10" borderId="16" xfId="13" applyFont="1" applyFill="1" applyBorder="1" applyAlignment="1">
      <alignment horizontal="left" vertical="center"/>
    </xf>
    <xf numFmtId="0" fontId="112" fillId="10" borderId="28"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188" fontId="4" fillId="10" borderId="16" xfId="13" applyNumberFormat="1" applyFill="1" applyBorder="1" applyAlignment="1">
      <alignment horizontal="left" vertical="center"/>
    </xf>
    <xf numFmtId="0" fontId="4" fillId="10" borderId="15" xfId="13" applyFill="1" applyBorder="1" applyAlignment="1">
      <alignment horizontal="left"/>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9" fillId="10" borderId="9" xfId="13" applyFont="1" applyFill="1" applyBorder="1" applyAlignment="1">
      <alignment horizontal="left"/>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0" fontId="4" fillId="10" borderId="9" xfId="13" applyFill="1" applyBorder="1" applyAlignment="1">
      <alignment horizontal="left" vertical="top"/>
    </xf>
    <xf numFmtId="0" fontId="4" fillId="0" borderId="0" xfId="13" applyAlignment="1">
      <alignment horizontal="left" wrapText="1"/>
    </xf>
    <xf numFmtId="0" fontId="25" fillId="0" borderId="0" xfId="13" applyFont="1" applyAlignment="1">
      <alignment horizontal="center"/>
    </xf>
    <xf numFmtId="0" fontId="4" fillId="10" borderId="0" xfId="13" applyFill="1" applyAlignment="1">
      <alignment horizontal="left" vertical="top" wrapText="1"/>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37" fontId="212" fillId="13" borderId="221" xfId="34" applyNumberFormat="1" applyFont="1" applyFill="1" applyBorder="1" applyAlignment="1" applyProtection="1">
      <alignment horizontal="center" vertical="center"/>
      <protection locked="0"/>
    </xf>
    <xf numFmtId="37" fontId="212" fillId="13" borderId="223"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6" fillId="11" borderId="222" xfId="34" applyNumberFormat="1" applyFont="1" applyFill="1" applyBorder="1" applyAlignment="1" applyProtection="1">
      <alignment horizontal="center" vertical="center"/>
      <protection locked="0"/>
    </xf>
    <xf numFmtId="37" fontId="206" fillId="11" borderId="223" xfId="34" applyNumberFormat="1" applyFont="1" applyFill="1" applyBorder="1" applyAlignment="1" applyProtection="1">
      <alignment horizontal="center" vertical="center"/>
      <protection locked="0"/>
    </xf>
    <xf numFmtId="0" fontId="207" fillId="13" borderId="217"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21"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18" xfId="34" applyNumberFormat="1" applyFont="1" applyFill="1" applyBorder="1" applyAlignment="1" applyProtection="1">
      <alignment horizontal="center" vertical="center"/>
      <protection locked="0"/>
    </xf>
    <xf numFmtId="164" fontId="208" fillId="13" borderId="261"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0" fontId="4" fillId="0" borderId="0" xfId="13" applyAlignment="1">
      <alignment horizontal="justify" vertical="top" wrapText="1"/>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3" fontId="156" fillId="0" borderId="0" xfId="13" applyNumberFormat="1" applyFont="1" applyAlignment="1">
      <alignment horizontal="center" vertical="center"/>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140625" defaultRowHeight="12.75"/>
  <cols>
    <col min="1" max="1" width="171.42578125" customWidth="1"/>
  </cols>
  <sheetData>
    <row r="1" spans="1:6" ht="15" customHeight="1">
      <c r="A1" s="488" t="s">
        <v>0</v>
      </c>
    </row>
    <row r="2" spans="1:6" ht="15" customHeight="1">
      <c r="A2" s="489" t="str">
        <f>'Part I-Project Identification'!F27</f>
        <v>Westchester Village II</v>
      </c>
    </row>
    <row r="3" spans="1:6" ht="15" customHeight="1">
      <c r="A3" s="489" t="str">
        <f>CONCATENATE('Part I-Project Identification'!F28,", ", 'Part I-Project Identification'!J28," County")</f>
        <v>Jonesboro, Clayton County</v>
      </c>
    </row>
    <row r="4" spans="1:6" ht="12" customHeight="1">
      <c r="A4" s="784"/>
    </row>
    <row r="5" spans="1:6" ht="72" customHeight="1">
      <c r="A5" s="3378" t="s">
        <v>1</v>
      </c>
      <c r="B5" s="3379" t="s">
        <v>2</v>
      </c>
      <c r="C5" s="3379"/>
      <c r="D5" s="3379"/>
      <c r="E5" s="3379"/>
      <c r="F5" s="3379"/>
    </row>
    <row r="6" spans="1:6" ht="6.6" customHeight="1">
      <c r="A6" s="3378"/>
      <c r="B6" s="3379"/>
      <c r="C6" s="3379"/>
      <c r="D6" s="3379"/>
      <c r="E6" s="3379"/>
      <c r="F6" s="3379"/>
    </row>
    <row r="7" spans="1:6" ht="72" customHeight="1">
      <c r="A7" s="3378"/>
      <c r="B7" s="3379"/>
      <c r="C7" s="3379"/>
      <c r="D7" s="3379"/>
      <c r="E7" s="3379"/>
      <c r="F7" s="3379"/>
    </row>
    <row r="8" spans="1:6" ht="6.6" customHeight="1">
      <c r="A8" s="3378"/>
    </row>
    <row r="9" spans="1:6" ht="72" customHeight="1">
      <c r="A9" s="3378"/>
    </row>
    <row r="10" spans="1:6" ht="6.6" customHeight="1">
      <c r="A10" s="3378"/>
    </row>
    <row r="11" spans="1:6" ht="72" customHeight="1">
      <c r="A11" s="3378"/>
    </row>
    <row r="12" spans="1:6" ht="6.6" customHeight="1">
      <c r="A12" s="3378"/>
    </row>
    <row r="13" spans="1:6" ht="72" customHeight="1">
      <c r="A13" s="3378"/>
    </row>
    <row r="14" spans="1:6" ht="6.6" customHeight="1">
      <c r="A14" s="3378"/>
    </row>
    <row r="15" spans="1:6" ht="72" customHeight="1">
      <c r="A15" s="3378"/>
    </row>
    <row r="16" spans="1:6" ht="6.6" customHeight="1">
      <c r="A16" s="3378"/>
    </row>
    <row r="17" spans="1:1" ht="72" customHeight="1">
      <c r="A17" s="3378"/>
    </row>
    <row r="18" spans="1:1" ht="6.6" customHeight="1">
      <c r="A18" s="3378"/>
    </row>
    <row r="19" spans="1:1" ht="72" customHeight="1">
      <c r="A19" s="3378"/>
    </row>
    <row r="20" spans="1:1" ht="6.6" customHeight="1">
      <c r="A20" s="3378"/>
    </row>
    <row r="21" spans="1:1" ht="72" customHeight="1">
      <c r="A21" s="3378"/>
    </row>
    <row r="22" spans="1:1" ht="6.6" customHeight="1">
      <c r="A22" s="3378"/>
    </row>
    <row r="23" spans="1:1" ht="72" customHeight="1">
      <c r="A23" s="3378"/>
    </row>
  </sheetData>
  <mergeCells count="2">
    <mergeCell ref="A5:A23"/>
    <mergeCell ref="B5:F7"/>
  </mergeCells>
  <printOptions horizontalCentered="1"/>
  <pageMargins left="0.25" right="0.25" top="0.5" bottom="0.5" header="0.3" footer="0.3"/>
  <pageSetup scale="60"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pageSetUpPr fitToPage="1"/>
  </sheetPr>
  <dimension ref="A1:AR717"/>
  <sheetViews>
    <sheetView showGridLines="0" topLeftCell="A4" workbookViewId="0">
      <selection activeCell="F17" sqref="F17:H17"/>
    </sheetView>
  </sheetViews>
  <sheetFormatPr defaultColWidth="9.140625" defaultRowHeight="12.75"/>
  <cols>
    <col min="1" max="1" width="3.140625" style="96" customWidth="1"/>
    <col min="2" max="2" width="2.140625" style="159" customWidth="1"/>
    <col min="3" max="11" width="8.85546875" style="96" customWidth="1"/>
    <col min="12" max="12" width="4" style="96" customWidth="1"/>
    <col min="13" max="13" width="8.85546875" style="96" customWidth="1"/>
    <col min="14" max="14" width="12.140625" style="96" customWidth="1"/>
    <col min="15" max="16" width="8.85546875" style="96" customWidth="1"/>
    <col min="17" max="17" width="9.140625" style="96"/>
    <col min="18" max="18" width="10.140625" style="96" bestFit="1" customWidth="1"/>
    <col min="19" max="19" width="9.140625" style="96"/>
    <col min="20" max="20" width="10.140625" style="96" bestFit="1" customWidth="1"/>
    <col min="21" max="25" width="9.140625" style="96"/>
    <col min="26" max="26" width="9.140625" style="2498"/>
    <col min="27" max="16384" width="9.14062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380" t="str">
        <f>CONCATENATE("Part I-Project Identification"," - ",$O$7," ",$F$27,", ",$F$28,", ",J28," County")</f>
        <v>Part I-Project Identification - 2026-0xx Westchester Village II, Jonesboro, Clayton County</v>
      </c>
      <c r="B2" s="3381"/>
      <c r="C2" s="3381"/>
      <c r="D2" s="3381"/>
      <c r="E2" s="3381"/>
      <c r="F2" s="3381"/>
      <c r="G2" s="3381"/>
      <c r="H2" s="3381"/>
      <c r="I2" s="3381"/>
      <c r="J2" s="3381"/>
      <c r="K2" s="3381"/>
      <c r="L2" s="3381"/>
      <c r="M2" s="3381"/>
      <c r="N2" s="3381"/>
      <c r="O2" s="3381"/>
      <c r="P2" s="3382"/>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383" t="s">
        <v>13</v>
      </c>
      <c r="B4" s="3384"/>
      <c r="C4" s="3384"/>
      <c r="D4" s="3384"/>
      <c r="E4" s="3384"/>
      <c r="F4" s="3384"/>
      <c r="G4" s="3384"/>
      <c r="H4" s="3384"/>
      <c r="I4" s="3384"/>
      <c r="J4" s="3384"/>
      <c r="K4" s="3384"/>
      <c r="L4" s="3384"/>
      <c r="M4" s="3384"/>
      <c r="N4" s="3384"/>
      <c r="O4" s="3384"/>
      <c r="P4" s="3384"/>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385" t="s">
        <v>14</v>
      </c>
      <c r="B6" s="3385"/>
      <c r="C6" s="3385"/>
      <c r="D6" s="3385"/>
      <c r="F6" s="2636"/>
      <c r="G6" s="136" t="s">
        <v>15</v>
      </c>
      <c r="L6" s="267"/>
      <c r="P6" s="1217" t="s">
        <v>16</v>
      </c>
      <c r="Z6" s="1809">
        <v>6</v>
      </c>
      <c r="AA6" s="1235">
        <v>5</v>
      </c>
    </row>
    <row r="7" spans="1:28" s="95" customFormat="1" ht="12" customHeight="1">
      <c r="A7" s="3385"/>
      <c r="B7" s="3385"/>
      <c r="C7" s="3385"/>
      <c r="D7" s="3385"/>
      <c r="E7" s="722"/>
      <c r="F7" s="2637"/>
      <c r="G7" s="136" t="s">
        <v>17</v>
      </c>
      <c r="H7" s="2517"/>
      <c r="I7" s="2517"/>
      <c r="J7" s="2517"/>
      <c r="O7" s="3386" t="s">
        <v>18</v>
      </c>
      <c r="P7" s="3387"/>
      <c r="Q7" s="3388" t="s">
        <v>19</v>
      </c>
      <c r="R7" s="3388"/>
      <c r="S7" s="3389"/>
      <c r="Z7" s="1809">
        <v>7</v>
      </c>
      <c r="AA7" s="1235">
        <v>6</v>
      </c>
    </row>
    <row r="8" spans="1:28" s="95" customFormat="1" ht="12" customHeight="1">
      <c r="A8" s="3385"/>
      <c r="B8" s="3385"/>
      <c r="C8" s="3385"/>
      <c r="D8" s="3385"/>
      <c r="E8" s="722"/>
      <c r="F8" s="2638"/>
      <c r="G8" s="98" t="s">
        <v>20</v>
      </c>
      <c r="H8" s="2517"/>
      <c r="I8" s="2517"/>
      <c r="J8" s="2517"/>
      <c r="Q8" s="3390"/>
      <c r="R8" s="3391"/>
      <c r="S8" s="3392"/>
      <c r="Z8" s="1809">
        <v>8</v>
      </c>
      <c r="AA8" s="1235">
        <v>7</v>
      </c>
    </row>
    <row r="9" spans="1:28" s="95" customFormat="1" ht="6" customHeight="1">
      <c r="A9" s="267"/>
      <c r="E9" s="2517"/>
      <c r="H9" s="2517"/>
      <c r="I9" s="2517"/>
      <c r="M9" s="2517"/>
      <c r="Q9" s="3390"/>
      <c r="R9" s="3391"/>
      <c r="S9" s="3392"/>
      <c r="Z9" s="1809">
        <v>9</v>
      </c>
      <c r="AA9" s="1235">
        <v>8</v>
      </c>
    </row>
    <row r="10" spans="1:28" s="95" customFormat="1" ht="13.35" customHeight="1">
      <c r="A10" s="151" t="s">
        <v>21</v>
      </c>
      <c r="B10" s="151" t="s">
        <v>22</v>
      </c>
      <c r="D10" s="96"/>
      <c r="E10" s="152"/>
      <c r="F10" s="153" t="s">
        <v>23</v>
      </c>
      <c r="I10" s="3396">
        <f>'Part III-A-Uses of Funds'!$J$192</f>
        <v>1350000</v>
      </c>
      <c r="J10" s="3397"/>
      <c r="L10" s="95" t="s">
        <v>24</v>
      </c>
      <c r="O10" s="3398">
        <f>'Part II-Sources of Funds'!$H$6</f>
        <v>0</v>
      </c>
      <c r="P10" s="3399"/>
      <c r="Q10" s="3390"/>
      <c r="R10" s="3391"/>
      <c r="S10" s="3392"/>
      <c r="Z10" s="1809">
        <v>10</v>
      </c>
      <c r="AA10" s="1235">
        <v>9</v>
      </c>
    </row>
    <row r="11" spans="1:28" s="95" customFormat="1" ht="6" customHeight="1">
      <c r="A11" s="151"/>
      <c r="B11" s="151"/>
      <c r="D11" s="96"/>
      <c r="E11" s="152"/>
      <c r="F11" s="152"/>
      <c r="I11" s="134"/>
      <c r="N11" s="154"/>
      <c r="Q11" s="3390"/>
      <c r="R11" s="3391"/>
      <c r="S11" s="3392"/>
      <c r="Z11" s="1809">
        <v>11</v>
      </c>
      <c r="AA11" s="1235">
        <v>10</v>
      </c>
    </row>
    <row r="12" spans="1:28" s="95" customFormat="1" ht="13.5">
      <c r="A12" s="134" t="s">
        <v>25</v>
      </c>
      <c r="B12" s="151" t="s">
        <v>26</v>
      </c>
      <c r="F12" s="3400" t="s">
        <v>7660</v>
      </c>
      <c r="G12" s="3401"/>
      <c r="H12" s="3402"/>
      <c r="I12" s="1218" t="s">
        <v>27</v>
      </c>
      <c r="J12" s="2477" t="s">
        <v>28</v>
      </c>
      <c r="K12" s="151"/>
      <c r="L12" s="2517"/>
      <c r="O12" s="3403" t="s">
        <v>7661</v>
      </c>
      <c r="P12" s="3404"/>
      <c r="Q12" s="3390"/>
      <c r="R12" s="3391"/>
      <c r="S12" s="3392"/>
      <c r="Z12" s="1809">
        <v>12</v>
      </c>
      <c r="AA12" s="1235">
        <v>11</v>
      </c>
    </row>
    <row r="13" spans="1:28" s="1438" customFormat="1" ht="15">
      <c r="A13" s="1417"/>
      <c r="C13" s="2546"/>
      <c r="D13" s="2546"/>
      <c r="E13" s="2546"/>
      <c r="F13" s="3443" t="s">
        <v>29</v>
      </c>
      <c r="G13" s="3443"/>
      <c r="H13" s="3443"/>
      <c r="I13" s="3443"/>
      <c r="J13" s="3443"/>
      <c r="K13" s="3443"/>
      <c r="L13" s="3443"/>
      <c r="M13" s="3443"/>
      <c r="N13" s="3443"/>
      <c r="O13" s="3444"/>
      <c r="P13" s="2500" t="s">
        <v>7474</v>
      </c>
      <c r="Q13" s="3390"/>
      <c r="R13" s="3391"/>
      <c r="S13" s="3392"/>
      <c r="T13" s="1487"/>
      <c r="U13" s="1487"/>
      <c r="V13" s="1487"/>
      <c r="W13" s="1487"/>
      <c r="X13" s="1487"/>
      <c r="Y13" s="1487"/>
      <c r="Z13" s="1809">
        <v>13</v>
      </c>
      <c r="AA13" s="1235">
        <v>12</v>
      </c>
      <c r="AB13" s="1487"/>
    </row>
    <row r="14" spans="1:28" s="1438" customFormat="1" ht="15">
      <c r="A14" s="1417"/>
      <c r="C14" s="2546"/>
      <c r="D14" s="2546"/>
      <c r="E14" s="2546"/>
      <c r="F14" s="1508"/>
      <c r="H14" s="1507"/>
      <c r="I14" s="1507"/>
      <c r="J14" s="1507"/>
      <c r="K14" s="1507"/>
      <c r="L14" s="1507"/>
      <c r="M14" s="3445" t="s">
        <v>30</v>
      </c>
      <c r="N14" s="3445"/>
      <c r="O14" s="3445"/>
      <c r="P14" s="2499" t="s">
        <v>7444</v>
      </c>
      <c r="Q14" s="3391"/>
      <c r="R14" s="3391"/>
      <c r="S14" s="3392"/>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390"/>
      <c r="R15" s="3391"/>
      <c r="S15" s="3392"/>
      <c r="Z15" s="1809">
        <v>15</v>
      </c>
      <c r="AA15" s="1235">
        <v>13</v>
      </c>
    </row>
    <row r="16" spans="1:28" s="95" customFormat="1" ht="14.1" customHeight="1">
      <c r="A16" s="134" t="s">
        <v>31</v>
      </c>
      <c r="B16" s="134" t="s">
        <v>32</v>
      </c>
      <c r="C16" s="134"/>
      <c r="D16" s="134"/>
      <c r="E16" s="134"/>
      <c r="F16" s="134"/>
      <c r="G16" s="153"/>
      <c r="H16" s="153"/>
      <c r="I16" s="3446" t="s">
        <v>33</v>
      </c>
      <c r="J16" s="3446"/>
      <c r="K16" s="3446"/>
      <c r="L16" s="3446"/>
      <c r="M16" s="3446"/>
      <c r="N16" s="3446"/>
      <c r="O16" s="3446"/>
      <c r="P16" s="3447"/>
      <c r="Q16" s="3390"/>
      <c r="R16" s="3391"/>
      <c r="S16" s="3392"/>
      <c r="Z16" s="1809">
        <v>16</v>
      </c>
      <c r="AA16" s="1235">
        <v>14</v>
      </c>
    </row>
    <row r="17" spans="1:27" s="95" customFormat="1">
      <c r="B17" s="95" t="s">
        <v>34</v>
      </c>
      <c r="F17" s="3405" t="s">
        <v>7662</v>
      </c>
      <c r="G17" s="3406"/>
      <c r="H17" s="3407"/>
      <c r="I17" s="1476" t="s">
        <v>35</v>
      </c>
      <c r="J17" s="3415" t="s">
        <v>7663</v>
      </c>
      <c r="K17" s="3410"/>
      <c r="L17" s="3411"/>
      <c r="M17" s="1299" t="s">
        <v>36</v>
      </c>
      <c r="N17" s="3405" t="s">
        <v>487</v>
      </c>
      <c r="O17" s="3406"/>
      <c r="P17" s="3407"/>
      <c r="Q17" s="3390"/>
      <c r="R17" s="3391"/>
      <c r="S17" s="3392"/>
      <c r="Z17" s="1809">
        <v>17</v>
      </c>
      <c r="AA17" s="1235">
        <v>15</v>
      </c>
    </row>
    <row r="18" spans="1:27" s="95" customFormat="1" ht="12.75" customHeight="1">
      <c r="B18" s="153" t="s">
        <v>37</v>
      </c>
      <c r="F18" s="3416">
        <v>6784676861</v>
      </c>
      <c r="G18" s="3417"/>
      <c r="H18" s="3418"/>
      <c r="I18" s="1477" t="s">
        <v>38</v>
      </c>
      <c r="J18" s="602"/>
      <c r="M18" s="153" t="s">
        <v>39</v>
      </c>
      <c r="N18" s="3416">
        <v>6784676861</v>
      </c>
      <c r="O18" s="3417"/>
      <c r="P18" s="3418"/>
      <c r="Q18" s="3390"/>
      <c r="R18" s="3391"/>
      <c r="S18" s="3392"/>
      <c r="V18" s="548"/>
      <c r="W18" s="548"/>
      <c r="X18" s="548"/>
      <c r="Z18" s="1809">
        <v>18</v>
      </c>
      <c r="AA18" s="1235">
        <v>16</v>
      </c>
    </row>
    <row r="19" spans="1:27" s="95" customFormat="1">
      <c r="B19" s="153" t="s">
        <v>40</v>
      </c>
      <c r="F19" s="3408" t="s">
        <v>7664</v>
      </c>
      <c r="G19" s="3409"/>
      <c r="H19" s="3409"/>
      <c r="I19" s="3410"/>
      <c r="J19" s="3409"/>
      <c r="K19" s="3410"/>
      <c r="L19" s="3411"/>
      <c r="M19" s="153" t="s">
        <v>41</v>
      </c>
      <c r="N19" s="3412">
        <v>6784676861</v>
      </c>
      <c r="O19" s="3413"/>
      <c r="P19" s="3414"/>
      <c r="Q19" s="3390"/>
      <c r="R19" s="3391"/>
      <c r="S19" s="3392"/>
      <c r="U19" s="548"/>
      <c r="V19" s="548"/>
      <c r="W19" s="548"/>
      <c r="X19" s="548"/>
      <c r="Z19" s="1809">
        <v>19</v>
      </c>
      <c r="AA19" s="1235">
        <v>17</v>
      </c>
    </row>
    <row r="20" spans="1:27" s="95" customFormat="1">
      <c r="A20" s="267"/>
      <c r="B20" s="151" t="s">
        <v>42</v>
      </c>
      <c r="C20" s="96"/>
      <c r="H20" s="2517"/>
      <c r="J20" s="96"/>
      <c r="P20" s="2517"/>
      <c r="Q20" s="3390"/>
      <c r="R20" s="3391"/>
      <c r="S20" s="3392"/>
      <c r="Z20" s="1809">
        <v>20</v>
      </c>
      <c r="AA20" s="1235">
        <v>18</v>
      </c>
    </row>
    <row r="21" spans="1:27" s="95" customFormat="1">
      <c r="B21" s="95" t="s">
        <v>34</v>
      </c>
      <c r="F21" s="3405"/>
      <c r="G21" s="3406"/>
      <c r="H21" s="3407"/>
      <c r="I21" s="1476" t="s">
        <v>35</v>
      </c>
      <c r="J21" s="3415"/>
      <c r="K21" s="3410"/>
      <c r="L21" s="3411"/>
      <c r="M21" s="1299" t="s">
        <v>36</v>
      </c>
      <c r="N21" s="3405"/>
      <c r="O21" s="3406"/>
      <c r="P21" s="3407"/>
      <c r="Q21" s="3390"/>
      <c r="R21" s="3391"/>
      <c r="S21" s="3392"/>
      <c r="Z21" s="1809">
        <v>21</v>
      </c>
      <c r="AA21" s="1235">
        <v>19</v>
      </c>
    </row>
    <row r="22" spans="1:27" s="95" customFormat="1">
      <c r="B22" s="153" t="s">
        <v>37</v>
      </c>
      <c r="F22" s="3416"/>
      <c r="G22" s="3417"/>
      <c r="H22" s="3418"/>
      <c r="I22" s="1477" t="s">
        <v>38</v>
      </c>
      <c r="J22" s="602"/>
      <c r="M22" s="153" t="s">
        <v>39</v>
      </c>
      <c r="N22" s="3416"/>
      <c r="O22" s="3417"/>
      <c r="P22" s="3418"/>
      <c r="Q22" s="3390"/>
      <c r="R22" s="3391"/>
      <c r="S22" s="3392"/>
      <c r="U22" s="142"/>
      <c r="V22" s="142"/>
      <c r="W22" s="142"/>
      <c r="X22" s="142"/>
      <c r="Z22" s="1809">
        <v>22</v>
      </c>
      <c r="AA22" s="1235">
        <v>20</v>
      </c>
    </row>
    <row r="23" spans="1:27" s="95" customFormat="1">
      <c r="B23" s="153" t="s">
        <v>40</v>
      </c>
      <c r="F23" s="3408"/>
      <c r="G23" s="3409"/>
      <c r="H23" s="3409"/>
      <c r="I23" s="3410"/>
      <c r="J23" s="3409"/>
      <c r="K23" s="3410"/>
      <c r="L23" s="3411"/>
      <c r="M23" s="153" t="s">
        <v>41</v>
      </c>
      <c r="N23" s="3412"/>
      <c r="O23" s="3413"/>
      <c r="P23" s="3414"/>
      <c r="Q23" s="3390"/>
      <c r="R23" s="3391"/>
      <c r="S23" s="3392"/>
      <c r="Z23" s="1809">
        <v>23</v>
      </c>
      <c r="AA23" s="1235">
        <v>21</v>
      </c>
    </row>
    <row r="24" spans="1:27" s="95" customFormat="1">
      <c r="I24" s="96"/>
      <c r="J24" s="96"/>
      <c r="K24" s="96"/>
      <c r="L24" s="96"/>
      <c r="M24" s="96"/>
      <c r="N24" s="96"/>
      <c r="O24" s="96"/>
      <c r="P24" s="96"/>
      <c r="Q24" s="3390"/>
      <c r="R24" s="3391"/>
      <c r="S24" s="3392"/>
      <c r="Z24" s="1809">
        <v>24</v>
      </c>
      <c r="AA24" s="1235">
        <v>22</v>
      </c>
    </row>
    <row r="25" spans="1:27" s="95" customFormat="1">
      <c r="A25" s="134" t="s">
        <v>43</v>
      </c>
      <c r="B25" s="151" t="s">
        <v>44</v>
      </c>
      <c r="D25" s="96"/>
      <c r="E25" s="152"/>
      <c r="F25" s="152"/>
      <c r="G25" s="153"/>
      <c r="H25" s="152"/>
      <c r="I25" s="152"/>
      <c r="J25" s="152"/>
      <c r="Q25" s="3390"/>
      <c r="R25" s="3391"/>
      <c r="S25" s="3392"/>
      <c r="Z25" s="1809">
        <v>25</v>
      </c>
      <c r="AA25" s="1235">
        <v>23</v>
      </c>
    </row>
    <row r="26" spans="1:27" s="95" customFormat="1" ht="1.5" customHeight="1">
      <c r="A26" s="134"/>
      <c r="B26" s="151"/>
      <c r="D26" s="96"/>
      <c r="E26" s="152"/>
      <c r="F26" s="152"/>
      <c r="G26" s="153"/>
      <c r="H26" s="152"/>
      <c r="I26" s="152"/>
      <c r="J26" s="152"/>
      <c r="L26" s="154"/>
      <c r="M26" s="154"/>
      <c r="Q26" s="3390"/>
      <c r="R26" s="3391"/>
      <c r="S26" s="3392"/>
      <c r="Z26" s="1809">
        <v>26</v>
      </c>
      <c r="AA26" s="1235">
        <v>24</v>
      </c>
    </row>
    <row r="27" spans="1:27" s="95" customFormat="1" ht="13.35" customHeight="1">
      <c r="A27" s="151"/>
      <c r="B27" s="95" t="s">
        <v>45</v>
      </c>
      <c r="D27" s="151"/>
      <c r="F27" s="3415" t="s">
        <v>7666</v>
      </c>
      <c r="G27" s="3420"/>
      <c r="H27" s="3420"/>
      <c r="I27" s="3410"/>
      <c r="J27" s="3420"/>
      <c r="K27" s="3421"/>
      <c r="M27" s="153" t="s">
        <v>46</v>
      </c>
      <c r="P27" s="2639" t="s">
        <v>7474</v>
      </c>
      <c r="Q27" s="3390"/>
      <c r="R27" s="3391"/>
      <c r="S27" s="3392"/>
      <c r="Z27" s="1809">
        <v>27</v>
      </c>
      <c r="AA27" s="1235">
        <v>25</v>
      </c>
    </row>
    <row r="28" spans="1:27" s="95" customFormat="1">
      <c r="A28" s="267"/>
      <c r="B28" s="95" t="s">
        <v>47</v>
      </c>
      <c r="F28" s="3422" t="s">
        <v>5912</v>
      </c>
      <c r="G28" s="3423"/>
      <c r="H28" s="3424"/>
      <c r="I28" s="162" t="s">
        <v>49</v>
      </c>
      <c r="J28" s="3425" t="str">
        <f>IF(F28="","",VLOOKUP(F28,'DCA Underwriting Assumptions'!$T$167:$U$796,2,FALSE))</f>
        <v>Clayton</v>
      </c>
      <c r="K28" s="3426"/>
      <c r="M28" s="153" t="s">
        <v>50</v>
      </c>
      <c r="P28" s="1343" t="s">
        <v>7474</v>
      </c>
      <c r="Q28" s="3390"/>
      <c r="R28" s="3391"/>
      <c r="S28" s="3392"/>
      <c r="U28" s="267"/>
      <c r="Z28" s="1809">
        <v>28</v>
      </c>
      <c r="AA28" s="1235">
        <v>26</v>
      </c>
    </row>
    <row r="29" spans="1:27" s="95" customFormat="1" ht="13.5">
      <c r="A29" s="267"/>
      <c r="B29" s="95" t="s">
        <v>51</v>
      </c>
      <c r="C29" s="157"/>
      <c r="D29" s="158"/>
      <c r="E29" s="158"/>
      <c r="F29" s="3422" t="s">
        <v>7665</v>
      </c>
      <c r="G29" s="3427"/>
      <c r="H29" s="3428"/>
      <c r="I29" s="2517"/>
      <c r="J29" s="279" t="s">
        <v>52</v>
      </c>
      <c r="K29" s="2517"/>
      <c r="M29" s="153" t="s">
        <v>53</v>
      </c>
      <c r="O29" s="3429">
        <v>7.44</v>
      </c>
      <c r="P29" s="3430"/>
      <c r="Q29" s="3390"/>
      <c r="R29" s="3391"/>
      <c r="S29" s="3392"/>
      <c r="Z29" s="1809">
        <v>29</v>
      </c>
      <c r="AA29" s="1235">
        <v>27</v>
      </c>
    </row>
    <row r="30" spans="1:27" s="95" customFormat="1">
      <c r="A30" s="267"/>
      <c r="B30" s="95" t="s">
        <v>54</v>
      </c>
      <c r="F30" s="866" t="s">
        <v>7474</v>
      </c>
      <c r="G30" s="2514"/>
      <c r="I30" s="1342"/>
      <c r="J30" s="2517" t="s">
        <v>55</v>
      </c>
      <c r="K30" s="2640" t="str">
        <f>IF(F30="Yes","Rural","Urban")</f>
        <v>Urban</v>
      </c>
      <c r="M30" s="153" t="s">
        <v>56</v>
      </c>
      <c r="N30" s="2641" t="str">
        <f>VLOOKUP($J$28,'DCA Underwriting Assumptions'!$G$167:$J$326,4)</f>
        <v>MSA</v>
      </c>
      <c r="O30" s="3425" t="str">
        <f>IF($F$28="","",VLOOKUP($J$28,'DCA Underwriting Assumptions'!$G$167:$L$326,3,FALSE))</f>
        <v>Atlanta-Sandy Springs-Marietta</v>
      </c>
      <c r="P30" s="3426"/>
      <c r="Q30" s="3390"/>
      <c r="R30" s="3391"/>
      <c r="S30" s="3392"/>
      <c r="Z30" s="1809">
        <v>30</v>
      </c>
      <c r="AA30" s="1235">
        <v>28</v>
      </c>
    </row>
    <row r="31" spans="1:27" s="95" customFormat="1">
      <c r="A31" s="267"/>
      <c r="B31" s="267"/>
      <c r="C31" s="157"/>
      <c r="D31" s="158"/>
      <c r="E31" s="158"/>
      <c r="F31" s="2517"/>
      <c r="G31" s="2517"/>
      <c r="H31" s="2517"/>
      <c r="I31" s="2517"/>
      <c r="J31" s="158"/>
      <c r="K31" s="2517"/>
      <c r="L31" s="2517"/>
      <c r="P31" s="2517"/>
      <c r="Q31" s="3390"/>
      <c r="R31" s="3391"/>
      <c r="S31" s="3392"/>
      <c r="Z31" s="1809">
        <v>31</v>
      </c>
      <c r="AA31" s="1235">
        <v>29</v>
      </c>
    </row>
    <row r="32" spans="1:27" s="95" customFormat="1">
      <c r="A32" s="134" t="s">
        <v>57</v>
      </c>
      <c r="B32" s="134" t="s">
        <v>58</v>
      </c>
      <c r="D32" s="159"/>
      <c r="E32" s="159"/>
      <c r="F32" s="159"/>
      <c r="G32" s="2517"/>
      <c r="H32" s="2517"/>
      <c r="I32" s="2517"/>
      <c r="J32" s="158"/>
      <c r="K32" s="2517"/>
      <c r="L32" s="2517"/>
      <c r="P32" s="1329"/>
      <c r="Q32" s="3390"/>
      <c r="R32" s="3391"/>
      <c r="S32" s="3392"/>
      <c r="Z32" s="1809">
        <v>32</v>
      </c>
      <c r="AA32" s="1235">
        <v>30</v>
      </c>
    </row>
    <row r="33" spans="1:27" s="95" customFormat="1" ht="2.25" customHeight="1">
      <c r="A33" s="267"/>
      <c r="B33" s="267"/>
      <c r="M33" s="153"/>
      <c r="N33" s="2536"/>
      <c r="O33" s="2536"/>
      <c r="P33" s="1039"/>
      <c r="Q33" s="3390"/>
      <c r="R33" s="3391"/>
      <c r="S33" s="3392"/>
      <c r="Z33" s="1809">
        <v>33</v>
      </c>
      <c r="AA33" s="1235">
        <v>31</v>
      </c>
    </row>
    <row r="34" spans="1:27" s="95" customFormat="1">
      <c r="A34" s="267"/>
      <c r="B34" s="134" t="s">
        <v>59</v>
      </c>
      <c r="D34" s="600"/>
      <c r="E34" s="600"/>
      <c r="F34" s="600"/>
      <c r="G34" s="600"/>
      <c r="H34" s="2517"/>
      <c r="J34" s="96"/>
      <c r="K34" s="158"/>
      <c r="P34" s="2517"/>
      <c r="Q34" s="3390"/>
      <c r="R34" s="3391"/>
      <c r="S34" s="3392"/>
      <c r="Z34" s="1809">
        <v>34</v>
      </c>
      <c r="AA34" s="1235">
        <v>32</v>
      </c>
    </row>
    <row r="35" spans="1:27" s="95" customFormat="1" ht="1.5" customHeight="1">
      <c r="A35" s="267"/>
      <c r="B35" s="267"/>
      <c r="C35" s="134"/>
      <c r="D35" s="600"/>
      <c r="E35" s="600"/>
      <c r="F35" s="600"/>
      <c r="G35" s="600"/>
      <c r="H35" s="2517"/>
      <c r="J35" s="96"/>
      <c r="K35" s="158"/>
      <c r="P35" s="2517"/>
      <c r="Q35" s="3390"/>
      <c r="R35" s="3391"/>
      <c r="S35" s="3392"/>
      <c r="Z35" s="1809">
        <v>35</v>
      </c>
      <c r="AA35" s="1235">
        <v>33</v>
      </c>
    </row>
    <row r="36" spans="1:27" s="95" customFormat="1" ht="13.5" hidden="1" customHeight="1">
      <c r="A36" s="267"/>
      <c r="B36" s="267"/>
      <c r="C36" s="95" t="s">
        <v>60</v>
      </c>
      <c r="D36" s="163"/>
      <c r="I36" s="2642"/>
      <c r="K36" s="151"/>
      <c r="L36" s="95" t="s">
        <v>61</v>
      </c>
      <c r="P36" s="2643"/>
      <c r="Q36" s="3390"/>
      <c r="R36" s="3391"/>
      <c r="S36" s="3392"/>
      <c r="Z36" s="1809">
        <v>36</v>
      </c>
      <c r="AA36" s="1235">
        <v>34</v>
      </c>
    </row>
    <row r="37" spans="1:27" s="95" customFormat="1" ht="12.75" hidden="1" customHeight="1">
      <c r="A37" s="267"/>
      <c r="B37" s="151"/>
      <c r="C37" s="95" t="s">
        <v>62</v>
      </c>
      <c r="I37" s="1291"/>
      <c r="J37" s="162" t="s">
        <v>63</v>
      </c>
      <c r="O37" s="3431"/>
      <c r="P37" s="3432"/>
      <c r="Q37" s="3390"/>
      <c r="R37" s="3391"/>
      <c r="S37" s="3392"/>
      <c r="Z37" s="1809">
        <v>37</v>
      </c>
      <c r="AA37" s="1235">
        <v>35</v>
      </c>
    </row>
    <row r="38" spans="1:27" s="95" customFormat="1" ht="12.75" customHeight="1">
      <c r="A38" s="267"/>
      <c r="B38" s="151"/>
      <c r="C38" s="95" t="s">
        <v>64</v>
      </c>
      <c r="I38" s="2642" t="s">
        <v>7474</v>
      </c>
      <c r="J38" s="162" t="s">
        <v>63</v>
      </c>
      <c r="O38" s="3433"/>
      <c r="P38" s="3434"/>
      <c r="Q38" s="3390"/>
      <c r="R38" s="3391"/>
      <c r="S38" s="3392"/>
      <c r="Z38" s="1809">
        <v>38</v>
      </c>
      <c r="AA38" s="1235">
        <v>36</v>
      </c>
    </row>
    <row r="39" spans="1:27" s="95" customFormat="1" ht="12.6" customHeight="1">
      <c r="A39" s="267"/>
      <c r="B39" s="267"/>
      <c r="C39" s="95" t="s">
        <v>65</v>
      </c>
      <c r="I39" s="625" t="s">
        <v>7474</v>
      </c>
      <c r="J39" s="162" t="s">
        <v>63</v>
      </c>
      <c r="O39" s="3435"/>
      <c r="P39" s="3436"/>
      <c r="Q39" s="3393"/>
      <c r="R39" s="3394"/>
      <c r="S39" s="3395"/>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66</v>
      </c>
      <c r="C42" s="159" t="s">
        <v>67</v>
      </c>
      <c r="M42" s="134" t="s">
        <v>68</v>
      </c>
      <c r="N42" s="159" t="s">
        <v>69</v>
      </c>
      <c r="Z42" s="1809">
        <v>42</v>
      </c>
      <c r="AA42" s="1235">
        <v>40</v>
      </c>
    </row>
    <row r="43" spans="1:27" ht="12" customHeight="1">
      <c r="A43" s="134"/>
      <c r="C43" s="159"/>
      <c r="M43" s="134"/>
      <c r="N43" s="159"/>
      <c r="Z43" s="1809">
        <v>43</v>
      </c>
      <c r="AA43" s="1235">
        <v>41</v>
      </c>
    </row>
    <row r="44" spans="1:27" ht="409.5" customHeight="1">
      <c r="A44" s="3437"/>
      <c r="B44" s="3438"/>
      <c r="C44" s="3438"/>
      <c r="D44" s="3438"/>
      <c r="E44" s="3438"/>
      <c r="F44" s="3438"/>
      <c r="G44" s="3438"/>
      <c r="H44" s="3438"/>
      <c r="I44" s="3438"/>
      <c r="J44" s="3438"/>
      <c r="K44" s="3438"/>
      <c r="L44" s="3439"/>
      <c r="M44" s="3440"/>
      <c r="N44" s="3441"/>
      <c r="O44" s="3441"/>
      <c r="P44" s="3442"/>
      <c r="Q44" s="3419"/>
      <c r="R44" s="3379"/>
      <c r="S44" s="3379"/>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70</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71</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72</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73</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74</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75</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76</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77</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78</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79</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80</v>
      </c>
      <c r="S471" s="290" t="s">
        <v>81</v>
      </c>
      <c r="T471" s="290" t="s">
        <v>82</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83</v>
      </c>
      <c r="S472" s="290" t="s">
        <v>84</v>
      </c>
      <c r="T472" s="291" t="s">
        <v>85</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86</v>
      </c>
      <c r="S473" s="290" t="s">
        <v>87</v>
      </c>
      <c r="T473" s="291" t="s">
        <v>85</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88</v>
      </c>
      <c r="S474" s="290" t="s">
        <v>89</v>
      </c>
      <c r="T474" s="291" t="s">
        <v>85</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90</v>
      </c>
      <c r="S475" s="290"/>
      <c r="T475" s="291" t="s">
        <v>85</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91</v>
      </c>
      <c r="S476" s="290" t="s">
        <v>92</v>
      </c>
      <c r="T476" s="291" t="s">
        <v>85</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93</v>
      </c>
      <c r="S477" s="290" t="s">
        <v>89</v>
      </c>
      <c r="T477" s="291" t="s">
        <v>85</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94</v>
      </c>
      <c r="S478" s="290" t="s">
        <v>95</v>
      </c>
      <c r="T478" s="291" t="s">
        <v>85</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96</v>
      </c>
      <c r="S479" s="290" t="s">
        <v>97</v>
      </c>
      <c r="T479" s="291" t="s">
        <v>85</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98</v>
      </c>
      <c r="S480" s="290" t="s">
        <v>99</v>
      </c>
      <c r="T480" s="291" t="s">
        <v>85</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100</v>
      </c>
      <c r="S481" s="290" t="s">
        <v>84</v>
      </c>
      <c r="T481" s="291" t="s">
        <v>85</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101</v>
      </c>
      <c r="S482" s="290" t="s">
        <v>102</v>
      </c>
      <c r="T482" s="291" t="s">
        <v>85</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103</v>
      </c>
      <c r="S483" s="290" t="s">
        <v>104</v>
      </c>
      <c r="T483" s="291" t="s">
        <v>85</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105</v>
      </c>
      <c r="S484" s="290" t="s">
        <v>106</v>
      </c>
      <c r="T484" s="291" t="s">
        <v>85</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107</v>
      </c>
      <c r="S485" s="290" t="s">
        <v>102</v>
      </c>
      <c r="T485" s="291" t="s">
        <v>85</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108</v>
      </c>
      <c r="S486" s="290" t="s">
        <v>109</v>
      </c>
      <c r="T486" s="291" t="s">
        <v>85</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110</v>
      </c>
      <c r="S487" s="290" t="s">
        <v>92</v>
      </c>
      <c r="T487" s="291" t="s">
        <v>85</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111</v>
      </c>
      <c r="S488" s="290" t="s">
        <v>112</v>
      </c>
      <c r="T488" s="291" t="s">
        <v>85</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113</v>
      </c>
      <c r="S489" s="290" t="s">
        <v>114</v>
      </c>
      <c r="T489" s="291" t="s">
        <v>85</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115</v>
      </c>
      <c r="S490" s="290" t="s">
        <v>84</v>
      </c>
      <c r="T490" s="291" t="s">
        <v>85</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116</v>
      </c>
      <c r="S491" s="290" t="s">
        <v>117</v>
      </c>
      <c r="T491" s="291" t="s">
        <v>85</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118</v>
      </c>
      <c r="S492" s="290" t="s">
        <v>119</v>
      </c>
      <c r="T492" s="291" t="s">
        <v>85</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120</v>
      </c>
      <c r="S493" s="290" t="s">
        <v>121</v>
      </c>
      <c r="T493" s="291" t="s">
        <v>85</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122</v>
      </c>
      <c r="S494" s="290" t="s">
        <v>123</v>
      </c>
      <c r="T494" s="291" t="s">
        <v>85</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124</v>
      </c>
      <c r="S495" s="290" t="s">
        <v>89</v>
      </c>
      <c r="T495" s="291" t="s">
        <v>85</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125</v>
      </c>
      <c r="S496" s="290" t="s">
        <v>126</v>
      </c>
      <c r="T496" s="291" t="s">
        <v>85</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127</v>
      </c>
      <c r="S497" s="290" t="s">
        <v>128</v>
      </c>
      <c r="T497" s="291" t="s">
        <v>85</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129</v>
      </c>
      <c r="S498" s="290" t="s">
        <v>123</v>
      </c>
      <c r="T498" s="291" t="s">
        <v>85</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130</v>
      </c>
      <c r="S499" s="290" t="s">
        <v>131</v>
      </c>
      <c r="T499" s="291" t="s">
        <v>85</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132</v>
      </c>
      <c r="S500" s="290" t="s">
        <v>119</v>
      </c>
      <c r="T500" s="291" t="s">
        <v>85</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133</v>
      </c>
      <c r="S501" s="271" t="s">
        <v>134</v>
      </c>
      <c r="T501" s="291" t="s">
        <v>85</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135</v>
      </c>
      <c r="S502" s="290" t="s">
        <v>109</v>
      </c>
      <c r="T502" s="291" t="s">
        <v>85</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136</v>
      </c>
      <c r="S503" s="290" t="s">
        <v>106</v>
      </c>
      <c r="T503" s="291" t="s">
        <v>85</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137</v>
      </c>
      <c r="S504" s="290"/>
      <c r="T504" s="291" t="s">
        <v>85</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138</v>
      </c>
      <c r="S505" s="290" t="s">
        <v>126</v>
      </c>
      <c r="T505" s="291" t="s">
        <v>85</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139</v>
      </c>
      <c r="S506" s="290" t="s">
        <v>140</v>
      </c>
      <c r="T506" s="291" t="s">
        <v>85</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141</v>
      </c>
      <c r="S507" s="290" t="s">
        <v>142</v>
      </c>
      <c r="T507" s="291" t="s">
        <v>85</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143</v>
      </c>
      <c r="S508" s="290" t="s">
        <v>84</v>
      </c>
      <c r="T508" s="291" t="s">
        <v>85</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144</v>
      </c>
      <c r="S509" s="290" t="s">
        <v>84</v>
      </c>
      <c r="T509" s="291" t="s">
        <v>85</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145</v>
      </c>
      <c r="S510" s="290" t="s">
        <v>84</v>
      </c>
      <c r="T510" s="291" t="s">
        <v>85</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146</v>
      </c>
      <c r="S511" s="290" t="s">
        <v>84</v>
      </c>
      <c r="T511" s="291" t="s">
        <v>85</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147</v>
      </c>
      <c r="S512" s="290" t="s">
        <v>148</v>
      </c>
      <c r="T512" s="291" t="s">
        <v>85</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149</v>
      </c>
      <c r="S513" s="290" t="s">
        <v>150</v>
      </c>
      <c r="T513" s="291" t="s">
        <v>85</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151</v>
      </c>
      <c r="S514" s="290" t="s">
        <v>152</v>
      </c>
      <c r="T514" s="291" t="s">
        <v>85</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153</v>
      </c>
      <c r="S515" s="290" t="s">
        <v>84</v>
      </c>
      <c r="T515" s="291" t="s">
        <v>85</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154</v>
      </c>
      <c r="S516" s="290" t="s">
        <v>155</v>
      </c>
      <c r="T516" s="291" t="s">
        <v>85</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156</v>
      </c>
      <c r="S517" s="290" t="s">
        <v>157</v>
      </c>
      <c r="T517" s="291" t="s">
        <v>85</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158</v>
      </c>
      <c r="S518" s="290" t="s">
        <v>159</v>
      </c>
      <c r="T518" s="291" t="s">
        <v>85</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160</v>
      </c>
      <c r="S519" s="290" t="s">
        <v>99</v>
      </c>
      <c r="T519" s="291" t="s">
        <v>85</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161</v>
      </c>
      <c r="S520" s="290" t="s">
        <v>123</v>
      </c>
      <c r="T520" s="291" t="s">
        <v>85</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162</v>
      </c>
      <c r="S521" s="290" t="s">
        <v>84</v>
      </c>
      <c r="T521" s="291" t="s">
        <v>85</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163</v>
      </c>
      <c r="S522" s="290" t="s">
        <v>164</v>
      </c>
      <c r="T522" s="291" t="s">
        <v>85</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165</v>
      </c>
      <c r="S523" s="290" t="s">
        <v>126</v>
      </c>
      <c r="T523" s="291" t="s">
        <v>85</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166</v>
      </c>
      <c r="S524" s="290" t="s">
        <v>117</v>
      </c>
      <c r="T524" s="291" t="s">
        <v>85</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167</v>
      </c>
      <c r="S525" s="290" t="s">
        <v>119</v>
      </c>
      <c r="T525" s="291" t="s">
        <v>85</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168</v>
      </c>
      <c r="S526" s="290" t="s">
        <v>84</v>
      </c>
      <c r="T526" s="291" t="s">
        <v>85</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169</v>
      </c>
      <c r="S527" s="290" t="s">
        <v>148</v>
      </c>
      <c r="T527" s="291" t="s">
        <v>85</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170</v>
      </c>
      <c r="S528" s="290" t="s">
        <v>109</v>
      </c>
      <c r="T528" s="291" t="s">
        <v>85</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171</v>
      </c>
      <c r="S529" s="290" t="s">
        <v>126</v>
      </c>
      <c r="T529" s="291" t="s">
        <v>85</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172</v>
      </c>
      <c r="S530" s="290" t="s">
        <v>126</v>
      </c>
      <c r="T530" s="291" t="s">
        <v>85</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F13:O13"/>
    <mergeCell ref="M14:O14"/>
    <mergeCell ref="I16:P16"/>
    <mergeCell ref="F22:H22"/>
    <mergeCell ref="N22:P22"/>
    <mergeCell ref="F19:L19"/>
    <mergeCell ref="N19:P19"/>
    <mergeCell ref="F21:H21"/>
    <mergeCell ref="J21:L21"/>
    <mergeCell ref="N21:P21"/>
    <mergeCell ref="Q44:S44"/>
    <mergeCell ref="F27:K27"/>
    <mergeCell ref="F28:H28"/>
    <mergeCell ref="J28:K28"/>
    <mergeCell ref="F29:H29"/>
    <mergeCell ref="O29:P29"/>
    <mergeCell ref="O30:P30"/>
    <mergeCell ref="O37:P37"/>
    <mergeCell ref="O38:P38"/>
    <mergeCell ref="O39:P39"/>
    <mergeCell ref="A44:L44"/>
    <mergeCell ref="M44:P44"/>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scale="56"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140625" defaultRowHeight="12.75"/>
  <cols>
    <col min="1" max="1" width="2.85546875" style="96" customWidth="1"/>
    <col min="2" max="4" width="1.85546875" style="96" customWidth="1"/>
    <col min="5" max="5" width="14.85546875" style="96" customWidth="1"/>
    <col min="6" max="6" width="6.140625" style="96" customWidth="1"/>
    <col min="7" max="7" width="2.85546875" style="96" customWidth="1"/>
    <col min="8" max="8" width="8" style="96" customWidth="1"/>
    <col min="9" max="9" width="6.140625" style="96" customWidth="1"/>
    <col min="10" max="10" width="8.140625" style="96" customWidth="1"/>
    <col min="11" max="11" width="9.85546875" style="96" customWidth="1"/>
    <col min="12" max="13" width="8.85546875" style="96" customWidth="1"/>
    <col min="14" max="14" width="9.42578125" style="96" customWidth="1"/>
    <col min="15" max="15" width="9.85546875" style="96" customWidth="1"/>
    <col min="16" max="19" width="6.140625" style="96" customWidth="1"/>
    <col min="20" max="24" width="11.5703125" style="96" customWidth="1"/>
    <col min="25" max="25" width="9.140625" style="96"/>
    <col min="26" max="26" width="9.140625" style="1155"/>
    <col min="27" max="16384" width="9.140625" style="96"/>
  </cols>
  <sheetData>
    <row r="1" spans="1:26" s="1183" customFormat="1" ht="13.5" hidden="1" customHeight="1">
      <c r="A1" s="1152"/>
      <c r="D1" s="1183" t="s">
        <v>173</v>
      </c>
      <c r="E1" s="1183" t="s">
        <v>3</v>
      </c>
      <c r="F1" s="1183" t="s">
        <v>174</v>
      </c>
      <c r="H1" s="1183" t="s">
        <v>175</v>
      </c>
      <c r="J1" s="1183" t="s">
        <v>176</v>
      </c>
      <c r="K1" s="1183" t="s">
        <v>177</v>
      </c>
      <c r="L1" s="1183" t="s">
        <v>178</v>
      </c>
      <c r="M1" s="1183" t="s">
        <v>179</v>
      </c>
      <c r="O1" s="1183" t="s">
        <v>180</v>
      </c>
      <c r="Q1" s="1183" t="s">
        <v>181</v>
      </c>
      <c r="Z1" s="1154">
        <v>1</v>
      </c>
    </row>
    <row r="2" spans="1:26" s="95" customFormat="1" ht="14.1" customHeight="1">
      <c r="A2" s="3535" t="e">
        <f>CONCATENATE("PART TWO - DEVELOPMENT TEAM INFORMATION","  -  ",#REF!," ",#REF!,", ",#REF!,", ",#REF!," County")</f>
        <v>#REF!</v>
      </c>
      <c r="B2" s="3536"/>
      <c r="C2" s="3536"/>
      <c r="D2" s="3536"/>
      <c r="E2" s="3536"/>
      <c r="F2" s="3536"/>
      <c r="G2" s="3536"/>
      <c r="H2" s="3536"/>
      <c r="I2" s="3536"/>
      <c r="J2" s="3536"/>
      <c r="K2" s="3536"/>
      <c r="L2" s="3536"/>
      <c r="M2" s="3536"/>
      <c r="N2" s="3536"/>
      <c r="O2" s="3536"/>
      <c r="P2" s="3536"/>
      <c r="Q2" s="3536"/>
      <c r="R2" s="3536"/>
      <c r="S2" s="3537"/>
      <c r="Z2" s="1154">
        <v>2</v>
      </c>
    </row>
    <row r="3" spans="1:26" ht="12" customHeight="1" thickBot="1">
      <c r="A3" s="544" t="s">
        <v>182</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21</v>
      </c>
      <c r="B4" s="134" t="s">
        <v>183</v>
      </c>
      <c r="C4" s="134"/>
      <c r="E4" s="134"/>
      <c r="F4" s="134"/>
      <c r="G4" s="134"/>
      <c r="H4" s="676" t="s">
        <v>184</v>
      </c>
      <c r="O4" s="3539" t="e">
        <f>#REF!</f>
        <v>#REF!</v>
      </c>
      <c r="P4" s="3540"/>
      <c r="Q4" s="3540"/>
      <c r="R4" s="3540"/>
      <c r="S4" s="3541"/>
      <c r="Z4" s="1154">
        <v>4</v>
      </c>
    </row>
    <row r="5" spans="1:26" s="95" customFormat="1" ht="8.85" customHeight="1">
      <c r="A5" s="151"/>
      <c r="B5" s="151"/>
      <c r="C5" s="151"/>
      <c r="D5" s="134"/>
      <c r="E5" s="134"/>
      <c r="F5" s="134"/>
      <c r="G5" s="134"/>
      <c r="H5" s="134"/>
      <c r="I5" s="134"/>
      <c r="J5" s="134"/>
      <c r="Z5" s="1154">
        <v>5</v>
      </c>
    </row>
    <row r="6" spans="1:26" s="95" customFormat="1" ht="11.25" customHeight="1">
      <c r="B6" s="151" t="s">
        <v>185</v>
      </c>
      <c r="C6" s="134" t="s">
        <v>186</v>
      </c>
      <c r="H6" s="3405" t="s">
        <v>187</v>
      </c>
      <c r="I6" s="3466"/>
      <c r="J6" s="3466"/>
      <c r="K6" s="3466"/>
      <c r="L6" s="3466"/>
      <c r="M6" s="3466"/>
      <c r="N6" s="3467"/>
      <c r="O6" s="164" t="s">
        <v>188</v>
      </c>
      <c r="P6" s="164"/>
      <c r="Q6" s="3405"/>
      <c r="R6" s="3466"/>
      <c r="S6" s="3467"/>
      <c r="Y6" s="604"/>
      <c r="Z6" s="1154">
        <v>6</v>
      </c>
    </row>
    <row r="7" spans="1:26" s="95" customFormat="1" ht="11.25" customHeight="1">
      <c r="D7" s="165"/>
      <c r="E7" s="153" t="s">
        <v>189</v>
      </c>
      <c r="F7" s="154"/>
      <c r="H7" s="3422"/>
      <c r="I7" s="3527"/>
      <c r="J7" s="3527"/>
      <c r="K7" s="3528"/>
      <c r="L7" s="3527"/>
      <c r="M7" s="3527"/>
      <c r="N7" s="3529"/>
      <c r="O7" s="164" t="s">
        <v>190</v>
      </c>
      <c r="P7" s="166"/>
      <c r="Q7" s="3530"/>
      <c r="R7" s="3531"/>
      <c r="S7" s="3532"/>
      <c r="V7" s="604"/>
      <c r="W7" s="604"/>
      <c r="X7" s="604"/>
      <c r="Y7" s="604"/>
      <c r="Z7" s="1154">
        <v>7</v>
      </c>
    </row>
    <row r="8" spans="1:26" s="95" customFormat="1" ht="11.25" customHeight="1">
      <c r="D8" s="165"/>
      <c r="E8" s="153" t="s">
        <v>47</v>
      </c>
      <c r="H8" s="3422"/>
      <c r="I8" s="3528"/>
      <c r="J8" s="3463"/>
      <c r="K8" s="230" t="s">
        <v>191</v>
      </c>
      <c r="L8" s="3538"/>
      <c r="M8" s="3527"/>
      <c r="N8" s="3529"/>
      <c r="O8" s="164" t="s">
        <v>39</v>
      </c>
      <c r="P8" s="166"/>
      <c r="Q8" s="3416"/>
      <c r="R8" s="3417"/>
      <c r="S8" s="3418"/>
      <c r="Z8" s="1154">
        <v>8</v>
      </c>
    </row>
    <row r="9" spans="1:26" s="95" customFormat="1" ht="11.25" customHeight="1">
      <c r="D9" s="165"/>
      <c r="E9" s="153" t="s">
        <v>192</v>
      </c>
      <c r="H9" s="720"/>
      <c r="I9" s="495" t="s">
        <v>193</v>
      </c>
      <c r="J9" s="3542"/>
      <c r="K9" s="3543"/>
      <c r="L9" s="166" t="s">
        <v>194</v>
      </c>
      <c r="M9" s="3544"/>
      <c r="N9" s="3545"/>
      <c r="O9" s="164" t="s">
        <v>41</v>
      </c>
      <c r="P9" s="166"/>
      <c r="Q9" s="3416"/>
      <c r="R9" s="3417"/>
      <c r="S9" s="3418"/>
      <c r="Z9" s="1154">
        <v>9</v>
      </c>
    </row>
    <row r="10" spans="1:26" s="95" customFormat="1" ht="11.25" customHeight="1">
      <c r="D10" s="165"/>
      <c r="E10" s="153" t="s">
        <v>195</v>
      </c>
      <c r="H10" s="3525"/>
      <c r="I10" s="3526"/>
      <c r="J10" s="2644"/>
      <c r="K10" s="167" t="s">
        <v>40</v>
      </c>
      <c r="L10" s="3464"/>
      <c r="M10" s="3409"/>
      <c r="N10" s="3409"/>
      <c r="O10" s="3410"/>
      <c r="P10" s="3410"/>
      <c r="Q10" s="3409"/>
      <c r="R10" s="3409"/>
      <c r="S10" s="3465"/>
      <c r="Z10" s="1154">
        <v>10</v>
      </c>
    </row>
    <row r="11" spans="1:26" s="95" customFormat="1" ht="11.25" customHeight="1">
      <c r="D11" s="165"/>
      <c r="E11" s="676" t="s">
        <v>184</v>
      </c>
      <c r="H11" s="168"/>
      <c r="I11" s="166"/>
      <c r="J11" s="166"/>
      <c r="K11" s="206"/>
      <c r="L11" s="166"/>
      <c r="M11" s="166"/>
      <c r="N11" s="231" t="s">
        <v>196</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197</v>
      </c>
      <c r="C13" s="134" t="s">
        <v>198</v>
      </c>
      <c r="F13" s="134"/>
      <c r="G13" s="134"/>
      <c r="H13" s="169"/>
      <c r="I13" s="169"/>
      <c r="J13" s="166"/>
      <c r="K13" s="166"/>
      <c r="L13" s="166"/>
      <c r="M13" s="166"/>
      <c r="N13" s="276" t="s">
        <v>199</v>
      </c>
      <c r="O13" s="166"/>
      <c r="P13" s="166"/>
      <c r="Q13" s="166"/>
      <c r="R13" s="166"/>
      <c r="S13" s="166"/>
      <c r="W13" s="276"/>
      <c r="X13" s="276"/>
      <c r="Y13" s="276"/>
      <c r="Z13" s="1154">
        <v>13</v>
      </c>
    </row>
    <row r="14" spans="1:26" s="95" customFormat="1" ht="11.25" customHeight="1">
      <c r="C14" s="171" t="s">
        <v>200</v>
      </c>
      <c r="D14" s="159" t="s">
        <v>201</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202</v>
      </c>
      <c r="E15" s="95" t="s">
        <v>203</v>
      </c>
      <c r="H15" s="3405"/>
      <c r="I15" s="3466"/>
      <c r="J15" s="3466"/>
      <c r="K15" s="3466"/>
      <c r="L15" s="3466"/>
      <c r="M15" s="3466"/>
      <c r="N15" s="3467"/>
      <c r="O15" s="164" t="s">
        <v>188</v>
      </c>
      <c r="P15" s="164"/>
      <c r="Q15" s="3405"/>
      <c r="R15" s="3466"/>
      <c r="S15" s="3467"/>
      <c r="Z15" s="1154">
        <v>15</v>
      </c>
    </row>
    <row r="16" spans="1:26" s="95" customFormat="1" ht="11.25" customHeight="1">
      <c r="D16" s="165"/>
      <c r="E16" s="153" t="s">
        <v>189</v>
      </c>
      <c r="F16" s="154"/>
      <c r="H16" s="3422"/>
      <c r="I16" s="3527"/>
      <c r="J16" s="3527"/>
      <c r="K16" s="3528"/>
      <c r="L16" s="3527"/>
      <c r="M16" s="3527"/>
      <c r="N16" s="3529"/>
      <c r="O16" s="164" t="s">
        <v>190</v>
      </c>
      <c r="P16" s="166"/>
      <c r="Q16" s="3530"/>
      <c r="R16" s="3531"/>
      <c r="S16" s="3532"/>
      <c r="Z16" s="1154">
        <v>16</v>
      </c>
    </row>
    <row r="17" spans="4:26" s="95" customFormat="1" ht="11.25" customHeight="1">
      <c r="D17" s="165"/>
      <c r="E17" s="153" t="s">
        <v>47</v>
      </c>
      <c r="H17" s="3422"/>
      <c r="I17" s="3528"/>
      <c r="J17" s="3463"/>
      <c r="K17" s="167" t="s">
        <v>204</v>
      </c>
      <c r="L17" s="3422"/>
      <c r="M17" s="3527"/>
      <c r="N17" s="3463"/>
      <c r="O17" s="164" t="s">
        <v>39</v>
      </c>
      <c r="P17" s="166"/>
      <c r="Q17" s="3416"/>
      <c r="R17" s="3417"/>
      <c r="S17" s="3418"/>
      <c r="Z17" s="1154">
        <v>17</v>
      </c>
    </row>
    <row r="18" spans="4:26" s="95" customFormat="1" ht="11.25" customHeight="1">
      <c r="D18" s="151"/>
      <c r="E18" s="153" t="s">
        <v>192</v>
      </c>
      <c r="H18" s="720"/>
      <c r="I18" s="166"/>
      <c r="J18" s="166"/>
      <c r="K18" s="495" t="s">
        <v>193</v>
      </c>
      <c r="L18" s="3533"/>
      <c r="M18" s="3534"/>
      <c r="N18" s="166"/>
      <c r="O18" s="164" t="s">
        <v>41</v>
      </c>
      <c r="P18" s="166"/>
      <c r="Q18" s="3416"/>
      <c r="R18" s="3417"/>
      <c r="S18" s="3418"/>
      <c r="Z18" s="1154">
        <v>18</v>
      </c>
    </row>
    <row r="19" spans="4:26" s="95" customFormat="1" ht="11.25" customHeight="1">
      <c r="D19" s="165"/>
      <c r="E19" s="153" t="s">
        <v>195</v>
      </c>
      <c r="H19" s="3525"/>
      <c r="I19" s="3526"/>
      <c r="J19" s="2644"/>
      <c r="K19" s="167" t="s">
        <v>40</v>
      </c>
      <c r="L19" s="3408"/>
      <c r="M19" s="3409"/>
      <c r="N19" s="3410"/>
      <c r="O19" s="3410"/>
      <c r="P19" s="3410"/>
      <c r="Q19" s="3409"/>
      <c r="R19" s="3409"/>
      <c r="S19" s="3465"/>
      <c r="Z19" s="1154">
        <v>19</v>
      </c>
    </row>
    <row r="20" spans="4:26" ht="4.3499999999999996" customHeight="1">
      <c r="D20" s="159"/>
      <c r="H20" s="2645"/>
      <c r="I20" s="2645"/>
      <c r="J20" s="2645"/>
      <c r="K20" s="167"/>
      <c r="L20" s="2645"/>
      <c r="M20" s="2645"/>
      <c r="N20" s="173"/>
      <c r="O20" s="174"/>
      <c r="P20" s="174"/>
      <c r="Q20" s="167"/>
      <c r="R20" s="174"/>
      <c r="S20" s="174"/>
      <c r="Z20" s="1154">
        <v>20</v>
      </c>
    </row>
    <row r="21" spans="4:26" s="95" customFormat="1" ht="11.25" customHeight="1">
      <c r="D21" s="151" t="s">
        <v>205</v>
      </c>
      <c r="E21" s="95" t="s">
        <v>206</v>
      </c>
      <c r="H21" s="3405"/>
      <c r="I21" s="3466"/>
      <c r="J21" s="3466"/>
      <c r="K21" s="3466"/>
      <c r="L21" s="3466"/>
      <c r="M21" s="3466"/>
      <c r="N21" s="3467"/>
      <c r="O21" s="164" t="s">
        <v>188</v>
      </c>
      <c r="P21" s="164"/>
      <c r="Q21" s="3405"/>
      <c r="R21" s="3466"/>
      <c r="S21" s="3467"/>
      <c r="Z21" s="1154">
        <v>21</v>
      </c>
    </row>
    <row r="22" spans="4:26" s="95" customFormat="1" ht="11.25" customHeight="1">
      <c r="D22" s="165"/>
      <c r="E22" s="153" t="s">
        <v>189</v>
      </c>
      <c r="F22" s="154"/>
      <c r="H22" s="3422"/>
      <c r="I22" s="3527"/>
      <c r="J22" s="3527"/>
      <c r="K22" s="3528"/>
      <c r="L22" s="3527"/>
      <c r="M22" s="3527"/>
      <c r="N22" s="3529"/>
      <c r="O22" s="164" t="s">
        <v>190</v>
      </c>
      <c r="P22" s="166"/>
      <c r="Q22" s="3530"/>
      <c r="R22" s="3531"/>
      <c r="S22" s="3532"/>
      <c r="Z22" s="1154">
        <v>22</v>
      </c>
    </row>
    <row r="23" spans="4:26" s="95" customFormat="1" ht="11.25" customHeight="1">
      <c r="D23" s="165"/>
      <c r="E23" s="153" t="s">
        <v>47</v>
      </c>
      <c r="H23" s="3422"/>
      <c r="I23" s="3528"/>
      <c r="J23" s="3463"/>
      <c r="K23" s="167" t="s">
        <v>204</v>
      </c>
      <c r="L23" s="3422"/>
      <c r="M23" s="3527"/>
      <c r="N23" s="3463"/>
      <c r="O23" s="164" t="s">
        <v>39</v>
      </c>
      <c r="P23" s="166"/>
      <c r="Q23" s="3416"/>
      <c r="R23" s="3417"/>
      <c r="S23" s="3418"/>
      <c r="Z23" s="1154">
        <v>23</v>
      </c>
    </row>
    <row r="24" spans="4:26" s="95" customFormat="1" ht="11.25" customHeight="1">
      <c r="E24" s="153" t="s">
        <v>192</v>
      </c>
      <c r="H24" s="720"/>
      <c r="I24" s="166"/>
      <c r="J24" s="166"/>
      <c r="K24" s="495" t="s">
        <v>193</v>
      </c>
      <c r="L24" s="3533"/>
      <c r="M24" s="3534"/>
      <c r="N24" s="166"/>
      <c r="O24" s="164" t="s">
        <v>41</v>
      </c>
      <c r="P24" s="166"/>
      <c r="Q24" s="3416"/>
      <c r="R24" s="3417"/>
      <c r="S24" s="3418"/>
      <c r="Z24" s="1154">
        <v>24</v>
      </c>
    </row>
    <row r="25" spans="4:26" s="95" customFormat="1" ht="11.25" customHeight="1">
      <c r="D25" s="165"/>
      <c r="E25" s="153" t="s">
        <v>195</v>
      </c>
      <c r="H25" s="3525"/>
      <c r="I25" s="3526"/>
      <c r="J25" s="2644"/>
      <c r="K25" s="167" t="s">
        <v>40</v>
      </c>
      <c r="L25" s="3408"/>
      <c r="M25" s="3409"/>
      <c r="N25" s="3410"/>
      <c r="O25" s="3410"/>
      <c r="P25" s="3410"/>
      <c r="Q25" s="3409"/>
      <c r="R25" s="3409"/>
      <c r="S25" s="3465"/>
      <c r="Z25" s="1154">
        <v>25</v>
      </c>
    </row>
    <row r="26" spans="4:26" s="95" customFormat="1" ht="4.3499999999999996"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207</v>
      </c>
      <c r="E27" s="95" t="s">
        <v>206</v>
      </c>
      <c r="H27" s="3405"/>
      <c r="I27" s="3466"/>
      <c r="J27" s="3466"/>
      <c r="K27" s="3466"/>
      <c r="L27" s="3466"/>
      <c r="M27" s="3466"/>
      <c r="N27" s="3467"/>
      <c r="O27" s="164" t="s">
        <v>188</v>
      </c>
      <c r="P27" s="164"/>
      <c r="Q27" s="3405"/>
      <c r="R27" s="3466"/>
      <c r="S27" s="3467"/>
      <c r="Z27" s="1154">
        <v>27</v>
      </c>
    </row>
    <row r="28" spans="4:26" s="95" customFormat="1" ht="11.25" customHeight="1">
      <c r="D28" s="165"/>
      <c r="E28" s="153" t="s">
        <v>189</v>
      </c>
      <c r="F28" s="154"/>
      <c r="H28" s="3422"/>
      <c r="I28" s="3527"/>
      <c r="J28" s="3527"/>
      <c r="K28" s="3528"/>
      <c r="L28" s="3527"/>
      <c r="M28" s="3527"/>
      <c r="N28" s="3529"/>
      <c r="O28" s="164" t="s">
        <v>190</v>
      </c>
      <c r="P28" s="166"/>
      <c r="Q28" s="3530"/>
      <c r="R28" s="3531"/>
      <c r="S28" s="3532"/>
      <c r="Z28" s="1154">
        <v>28</v>
      </c>
    </row>
    <row r="29" spans="4:26" s="95" customFormat="1" ht="11.25" customHeight="1">
      <c r="D29" s="165"/>
      <c r="E29" s="153" t="s">
        <v>47</v>
      </c>
      <c r="H29" s="3422"/>
      <c r="I29" s="3528"/>
      <c r="J29" s="3463"/>
      <c r="K29" s="167" t="s">
        <v>204</v>
      </c>
      <c r="L29" s="3422"/>
      <c r="M29" s="3527"/>
      <c r="N29" s="3463"/>
      <c r="O29" s="164" t="s">
        <v>39</v>
      </c>
      <c r="P29" s="166"/>
      <c r="Q29" s="3416"/>
      <c r="R29" s="3417"/>
      <c r="S29" s="3418"/>
      <c r="Z29" s="1154">
        <v>29</v>
      </c>
    </row>
    <row r="30" spans="4:26" s="95" customFormat="1" ht="11.25" customHeight="1">
      <c r="E30" s="153" t="s">
        <v>192</v>
      </c>
      <c r="H30" s="720"/>
      <c r="I30" s="166"/>
      <c r="J30" s="166"/>
      <c r="K30" s="495" t="s">
        <v>193</v>
      </c>
      <c r="L30" s="3533"/>
      <c r="M30" s="3534"/>
      <c r="N30" s="166"/>
      <c r="O30" s="164" t="s">
        <v>41</v>
      </c>
      <c r="P30" s="166"/>
      <c r="Q30" s="3416"/>
      <c r="R30" s="3417"/>
      <c r="S30" s="3418"/>
      <c r="Z30" s="1154">
        <v>30</v>
      </c>
    </row>
    <row r="31" spans="4:26" s="95" customFormat="1" ht="11.25" customHeight="1">
      <c r="D31" s="165"/>
      <c r="E31" s="153" t="s">
        <v>195</v>
      </c>
      <c r="H31" s="3525"/>
      <c r="I31" s="3526"/>
      <c r="J31" s="2644"/>
      <c r="K31" s="167" t="s">
        <v>40</v>
      </c>
      <c r="L31" s="3408"/>
      <c r="M31" s="3409"/>
      <c r="N31" s="3410"/>
      <c r="O31" s="3410"/>
      <c r="P31" s="3410"/>
      <c r="Q31" s="3409"/>
      <c r="R31" s="3409"/>
      <c r="S31" s="3465"/>
      <c r="Z31" s="1154">
        <v>31</v>
      </c>
    </row>
    <row r="32" spans="4:26" ht="4.3499999999999996" customHeight="1">
      <c r="H32" s="2509"/>
      <c r="I32" s="2509"/>
      <c r="J32" s="2509"/>
      <c r="K32" s="2509"/>
      <c r="L32" s="2509"/>
      <c r="M32" s="2509"/>
      <c r="N32" s="2509"/>
      <c r="O32" s="2509"/>
      <c r="P32" s="2509"/>
      <c r="Q32" s="2509"/>
      <c r="R32" s="2509"/>
      <c r="S32" s="2509"/>
      <c r="Z32" s="1154">
        <v>32</v>
      </c>
    </row>
    <row r="33" spans="3:26" s="95" customFormat="1" ht="11.25" customHeight="1">
      <c r="C33" s="171" t="s">
        <v>208</v>
      </c>
      <c r="D33" s="159" t="s">
        <v>209</v>
      </c>
      <c r="H33" s="166"/>
      <c r="I33" s="166"/>
      <c r="J33" s="166"/>
      <c r="K33" s="879" t="s">
        <v>184</v>
      </c>
      <c r="L33" s="166"/>
      <c r="M33" s="166"/>
      <c r="N33" s="166"/>
      <c r="O33" s="166"/>
      <c r="P33" s="166"/>
      <c r="Q33" s="166"/>
      <c r="R33" s="166"/>
      <c r="S33" s="166"/>
      <c r="Z33" s="1154">
        <v>33</v>
      </c>
    </row>
    <row r="34" spans="3:26" s="95" customFormat="1" ht="11.25" customHeight="1">
      <c r="D34" s="151" t="s">
        <v>202</v>
      </c>
      <c r="E34" s="95" t="s">
        <v>210</v>
      </c>
      <c r="H34" s="3405"/>
      <c r="I34" s="3466"/>
      <c r="J34" s="3466"/>
      <c r="K34" s="3466"/>
      <c r="L34" s="3466"/>
      <c r="M34" s="3466"/>
      <c r="N34" s="3467"/>
      <c r="O34" s="164" t="s">
        <v>188</v>
      </c>
      <c r="P34" s="164"/>
      <c r="Q34" s="3405"/>
      <c r="R34" s="3466"/>
      <c r="S34" s="3467"/>
      <c r="Z34" s="1154">
        <v>34</v>
      </c>
    </row>
    <row r="35" spans="3:26" s="95" customFormat="1" ht="11.25" customHeight="1">
      <c r="D35" s="165"/>
      <c r="E35" s="153" t="s">
        <v>189</v>
      </c>
      <c r="F35" s="154"/>
      <c r="H35" s="3422"/>
      <c r="I35" s="3527"/>
      <c r="J35" s="3527"/>
      <c r="K35" s="3528"/>
      <c r="L35" s="3527"/>
      <c r="M35" s="3527"/>
      <c r="N35" s="3529"/>
      <c r="O35" s="164" t="s">
        <v>190</v>
      </c>
      <c r="P35" s="166"/>
      <c r="Q35" s="3530"/>
      <c r="R35" s="3531"/>
      <c r="S35" s="3532"/>
      <c r="Z35" s="1154">
        <v>35</v>
      </c>
    </row>
    <row r="36" spans="3:26" s="95" customFormat="1" ht="11.25" customHeight="1">
      <c r="D36" s="165"/>
      <c r="E36" s="153" t="s">
        <v>47</v>
      </c>
      <c r="H36" s="3422"/>
      <c r="I36" s="3528"/>
      <c r="J36" s="3463"/>
      <c r="K36" s="167" t="s">
        <v>204</v>
      </c>
      <c r="L36" s="3422"/>
      <c r="M36" s="3527"/>
      <c r="N36" s="3463"/>
      <c r="O36" s="164" t="s">
        <v>39</v>
      </c>
      <c r="P36" s="166"/>
      <c r="Q36" s="3416"/>
      <c r="R36" s="3417"/>
      <c r="S36" s="3418"/>
      <c r="Z36" s="1154">
        <v>36</v>
      </c>
    </row>
    <row r="37" spans="3:26" s="95" customFormat="1" ht="11.25" customHeight="1">
      <c r="E37" s="153" t="s">
        <v>192</v>
      </c>
      <c r="H37" s="720"/>
      <c r="I37" s="166"/>
      <c r="J37" s="166"/>
      <c r="K37" s="495" t="s">
        <v>193</v>
      </c>
      <c r="L37" s="3533"/>
      <c r="M37" s="3534"/>
      <c r="N37" s="166"/>
      <c r="O37" s="164" t="s">
        <v>41</v>
      </c>
      <c r="P37" s="166"/>
      <c r="Q37" s="3416"/>
      <c r="R37" s="3417"/>
      <c r="S37" s="3418"/>
      <c r="Z37" s="1154">
        <v>37</v>
      </c>
    </row>
    <row r="38" spans="3:26" s="95" customFormat="1" ht="11.25" customHeight="1">
      <c r="D38" s="165"/>
      <c r="E38" s="153" t="s">
        <v>195</v>
      </c>
      <c r="H38" s="3525"/>
      <c r="I38" s="3526"/>
      <c r="J38" s="2644"/>
      <c r="K38" s="167" t="s">
        <v>40</v>
      </c>
      <c r="L38" s="3408"/>
      <c r="M38" s="3409"/>
      <c r="N38" s="3410"/>
      <c r="O38" s="3410"/>
      <c r="P38" s="3410"/>
      <c r="Q38" s="3409"/>
      <c r="R38" s="3409"/>
      <c r="S38" s="3465"/>
      <c r="Z38" s="1154">
        <v>38</v>
      </c>
    </row>
    <row r="39" spans="3:26" ht="4.3499999999999996" customHeight="1">
      <c r="H39" s="2645"/>
      <c r="I39" s="2645"/>
      <c r="J39" s="2645"/>
      <c r="K39" s="167"/>
      <c r="L39" s="2645"/>
      <c r="M39" s="2645"/>
      <c r="N39" s="173"/>
      <c r="O39" s="174"/>
      <c r="P39" s="174"/>
      <c r="Q39" s="167"/>
      <c r="R39" s="174"/>
      <c r="S39" s="174"/>
      <c r="Z39" s="1154">
        <v>39</v>
      </c>
    </row>
    <row r="40" spans="3:26" s="95" customFormat="1" ht="11.25" customHeight="1">
      <c r="D40" s="151" t="s">
        <v>205</v>
      </c>
      <c r="E40" s="95" t="s">
        <v>211</v>
      </c>
      <c r="F40" s="151"/>
      <c r="H40" s="3405"/>
      <c r="I40" s="3466"/>
      <c r="J40" s="3466"/>
      <c r="K40" s="3466"/>
      <c r="L40" s="3466"/>
      <c r="M40" s="3466"/>
      <c r="N40" s="3467"/>
      <c r="O40" s="164" t="s">
        <v>188</v>
      </c>
      <c r="P40" s="164"/>
      <c r="Q40" s="3405"/>
      <c r="R40" s="3466"/>
      <c r="S40" s="3467"/>
      <c r="Z40" s="1154">
        <v>40</v>
      </c>
    </row>
    <row r="41" spans="3:26" s="95" customFormat="1" ht="11.25" customHeight="1">
      <c r="D41" s="165"/>
      <c r="E41" s="153" t="s">
        <v>189</v>
      </c>
      <c r="F41" s="154"/>
      <c r="H41" s="3422"/>
      <c r="I41" s="3527"/>
      <c r="J41" s="3527"/>
      <c r="K41" s="3528"/>
      <c r="L41" s="3527"/>
      <c r="M41" s="3527"/>
      <c r="N41" s="3529"/>
      <c r="O41" s="164" t="s">
        <v>190</v>
      </c>
      <c r="P41" s="166"/>
      <c r="Q41" s="3530"/>
      <c r="R41" s="3531"/>
      <c r="S41" s="3532"/>
      <c r="Z41" s="1154">
        <v>41</v>
      </c>
    </row>
    <row r="42" spans="3:26" s="95" customFormat="1" ht="11.25" customHeight="1">
      <c r="D42" s="165"/>
      <c r="E42" s="153" t="s">
        <v>47</v>
      </c>
      <c r="H42" s="3422"/>
      <c r="I42" s="3528"/>
      <c r="J42" s="3463"/>
      <c r="K42" s="167" t="s">
        <v>204</v>
      </c>
      <c r="L42" s="3422"/>
      <c r="M42" s="3527"/>
      <c r="N42" s="3463"/>
      <c r="O42" s="164" t="s">
        <v>39</v>
      </c>
      <c r="P42" s="166"/>
      <c r="Q42" s="3416"/>
      <c r="R42" s="3417"/>
      <c r="S42" s="3418"/>
      <c r="Z42" s="1154">
        <v>42</v>
      </c>
    </row>
    <row r="43" spans="3:26" s="95" customFormat="1" ht="11.25" customHeight="1">
      <c r="D43" s="151"/>
      <c r="E43" s="153" t="s">
        <v>192</v>
      </c>
      <c r="H43" s="720"/>
      <c r="I43" s="166"/>
      <c r="J43" s="166"/>
      <c r="K43" s="495" t="s">
        <v>193</v>
      </c>
      <c r="L43" s="3533"/>
      <c r="M43" s="3534"/>
      <c r="N43" s="166"/>
      <c r="O43" s="164" t="s">
        <v>41</v>
      </c>
      <c r="P43" s="166"/>
      <c r="Q43" s="3416"/>
      <c r="R43" s="3417"/>
      <c r="S43" s="3418"/>
      <c r="Z43" s="1154">
        <v>43</v>
      </c>
    </row>
    <row r="44" spans="3:26" s="95" customFormat="1" ht="11.25" customHeight="1">
      <c r="D44" s="165"/>
      <c r="E44" s="153" t="s">
        <v>195</v>
      </c>
      <c r="H44" s="3525"/>
      <c r="I44" s="3526"/>
      <c r="J44" s="2644"/>
      <c r="K44" s="167" t="s">
        <v>40</v>
      </c>
      <c r="L44" s="3408"/>
      <c r="M44" s="3409"/>
      <c r="N44" s="3410"/>
      <c r="O44" s="3410"/>
      <c r="P44" s="3410"/>
      <c r="Q44" s="3409"/>
      <c r="R44" s="3409"/>
      <c r="S44" s="3465"/>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212</v>
      </c>
      <c r="D46" s="159" t="s">
        <v>213</v>
      </c>
      <c r="H46" s="166"/>
      <c r="I46" s="166"/>
      <c r="J46" s="166"/>
      <c r="K46" s="879" t="s">
        <v>184</v>
      </c>
      <c r="L46" s="166"/>
      <c r="M46" s="166"/>
      <c r="N46" s="166"/>
      <c r="O46" s="166"/>
      <c r="P46" s="166"/>
      <c r="Q46" s="166"/>
      <c r="R46" s="166"/>
      <c r="S46" s="166"/>
      <c r="Z46" s="1154">
        <v>46</v>
      </c>
    </row>
    <row r="47" spans="3:26" s="95" customFormat="1" ht="11.25" customHeight="1">
      <c r="E47" s="95" t="s">
        <v>214</v>
      </c>
      <c r="H47" s="3405"/>
      <c r="I47" s="3466"/>
      <c r="J47" s="3466"/>
      <c r="K47" s="3466"/>
      <c r="L47" s="3466"/>
      <c r="M47" s="3466"/>
      <c r="N47" s="3467"/>
      <c r="O47" s="164" t="s">
        <v>188</v>
      </c>
      <c r="P47" s="164"/>
      <c r="Q47" s="3405"/>
      <c r="R47" s="3466"/>
      <c r="S47" s="3467"/>
      <c r="Z47" s="1154">
        <v>47</v>
      </c>
    </row>
    <row r="48" spans="3:26" s="95" customFormat="1" ht="11.25" customHeight="1">
      <c r="D48" s="165"/>
      <c r="E48" s="153" t="s">
        <v>189</v>
      </c>
      <c r="F48" s="154"/>
      <c r="H48" s="3422"/>
      <c r="I48" s="3527"/>
      <c r="J48" s="3527"/>
      <c r="K48" s="3528"/>
      <c r="L48" s="3527"/>
      <c r="M48" s="3527"/>
      <c r="N48" s="3529"/>
      <c r="O48" s="164" t="s">
        <v>190</v>
      </c>
      <c r="P48" s="166"/>
      <c r="Q48" s="3530"/>
      <c r="R48" s="3531"/>
      <c r="S48" s="3532"/>
      <c r="Z48" s="1154">
        <v>48</v>
      </c>
    </row>
    <row r="49" spans="1:26" s="95" customFormat="1" ht="11.25" customHeight="1">
      <c r="D49" s="165"/>
      <c r="E49" s="153" t="s">
        <v>47</v>
      </c>
      <c r="H49" s="3422"/>
      <c r="I49" s="3528"/>
      <c r="J49" s="3463"/>
      <c r="K49" s="167" t="s">
        <v>204</v>
      </c>
      <c r="L49" s="3422"/>
      <c r="M49" s="3527"/>
      <c r="N49" s="3463"/>
      <c r="O49" s="164" t="s">
        <v>39</v>
      </c>
      <c r="P49" s="166"/>
      <c r="Q49" s="3416"/>
      <c r="R49" s="3417"/>
      <c r="S49" s="3418"/>
      <c r="Z49" s="1154">
        <v>49</v>
      </c>
    </row>
    <row r="50" spans="1:26" s="95" customFormat="1" ht="11.25" customHeight="1">
      <c r="E50" s="153" t="s">
        <v>192</v>
      </c>
      <c r="H50" s="720"/>
      <c r="I50" s="166"/>
      <c r="J50" s="166"/>
      <c r="K50" s="495" t="s">
        <v>193</v>
      </c>
      <c r="L50" s="3533"/>
      <c r="M50" s="3534"/>
      <c r="N50" s="166"/>
      <c r="O50" s="164" t="s">
        <v>41</v>
      </c>
      <c r="P50" s="166"/>
      <c r="Q50" s="3416"/>
      <c r="R50" s="3417"/>
      <c r="S50" s="3418"/>
      <c r="Z50" s="1154">
        <v>50</v>
      </c>
    </row>
    <row r="51" spans="1:26" s="95" customFormat="1" ht="11.25" customHeight="1">
      <c r="D51" s="165"/>
      <c r="E51" s="153" t="s">
        <v>195</v>
      </c>
      <c r="H51" s="3525"/>
      <c r="I51" s="3526"/>
      <c r="J51" s="2644"/>
      <c r="K51" s="167" t="s">
        <v>40</v>
      </c>
      <c r="L51" s="3408"/>
      <c r="M51" s="3409"/>
      <c r="N51" s="3410"/>
      <c r="O51" s="3410"/>
      <c r="P51" s="3410"/>
      <c r="Q51" s="3409"/>
      <c r="R51" s="3409"/>
      <c r="S51" s="3465"/>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35" customHeight="1">
      <c r="A53" s="151" t="s">
        <v>25</v>
      </c>
      <c r="B53" s="151" t="s">
        <v>215</v>
      </c>
      <c r="F53" s="151"/>
      <c r="G53" s="2517"/>
      <c r="H53" s="167"/>
      <c r="I53" s="167"/>
      <c r="J53" s="166"/>
      <c r="K53" s="879" t="s">
        <v>184</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185</v>
      </c>
      <c r="C55" s="151" t="s">
        <v>216</v>
      </c>
      <c r="H55" s="3405"/>
      <c r="I55" s="3466"/>
      <c r="J55" s="3466"/>
      <c r="K55" s="3466"/>
      <c r="L55" s="3466"/>
      <c r="M55" s="3466"/>
      <c r="N55" s="3467"/>
      <c r="O55" s="164" t="s">
        <v>188</v>
      </c>
      <c r="P55" s="164"/>
      <c r="Q55" s="3405"/>
      <c r="R55" s="3466"/>
      <c r="S55" s="3467"/>
      <c r="Z55" s="1154">
        <v>55</v>
      </c>
    </row>
    <row r="56" spans="1:26" s="95" customFormat="1" ht="11.25" customHeight="1">
      <c r="D56" s="165"/>
      <c r="E56" s="153" t="s">
        <v>189</v>
      </c>
      <c r="F56" s="154"/>
      <c r="H56" s="3422"/>
      <c r="I56" s="3527"/>
      <c r="J56" s="3527"/>
      <c r="K56" s="3528"/>
      <c r="L56" s="3527"/>
      <c r="M56" s="3527"/>
      <c r="N56" s="3529"/>
      <c r="O56" s="164" t="s">
        <v>190</v>
      </c>
      <c r="P56" s="166"/>
      <c r="Q56" s="3530"/>
      <c r="R56" s="3531"/>
      <c r="S56" s="3532"/>
      <c r="Z56" s="1154">
        <v>56</v>
      </c>
    </row>
    <row r="57" spans="1:26" s="95" customFormat="1" ht="11.25" customHeight="1">
      <c r="D57" s="165"/>
      <c r="E57" s="153" t="s">
        <v>47</v>
      </c>
      <c r="H57" s="3422"/>
      <c r="I57" s="3528"/>
      <c r="J57" s="3463"/>
      <c r="K57" s="167" t="s">
        <v>204</v>
      </c>
      <c r="L57" s="3422"/>
      <c r="M57" s="3527"/>
      <c r="N57" s="3463"/>
      <c r="O57" s="164" t="s">
        <v>39</v>
      </c>
      <c r="P57" s="166"/>
      <c r="Q57" s="3416"/>
      <c r="R57" s="3417"/>
      <c r="S57" s="3418"/>
      <c r="Z57" s="1154">
        <v>57</v>
      </c>
    </row>
    <row r="58" spans="1:26" s="95" customFormat="1" ht="11.25" customHeight="1">
      <c r="E58" s="153" t="s">
        <v>192</v>
      </c>
      <c r="H58" s="720"/>
      <c r="I58" s="166"/>
      <c r="J58" s="166"/>
      <c r="K58" s="495" t="s">
        <v>193</v>
      </c>
      <c r="L58" s="3533"/>
      <c r="M58" s="3534"/>
      <c r="N58" s="166"/>
      <c r="O58" s="164" t="s">
        <v>41</v>
      </c>
      <c r="P58" s="166"/>
      <c r="Q58" s="3416"/>
      <c r="R58" s="3417"/>
      <c r="S58" s="3418"/>
      <c r="Z58" s="1154">
        <v>58</v>
      </c>
    </row>
    <row r="59" spans="1:26" s="95" customFormat="1" ht="11.25" customHeight="1">
      <c r="D59" s="165"/>
      <c r="E59" s="153" t="s">
        <v>195</v>
      </c>
      <c r="H59" s="3525"/>
      <c r="I59" s="3526"/>
      <c r="J59" s="2644"/>
      <c r="K59" s="167" t="s">
        <v>40</v>
      </c>
      <c r="L59" s="3408"/>
      <c r="M59" s="3409"/>
      <c r="N59" s="3410"/>
      <c r="O59" s="3410"/>
      <c r="P59" s="3410"/>
      <c r="Q59" s="3409"/>
      <c r="R59" s="3409"/>
      <c r="S59" s="3465"/>
      <c r="Z59" s="1154">
        <v>59</v>
      </c>
    </row>
    <row r="60" spans="1:26" s="95" customFormat="1" ht="6.6"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197</v>
      </c>
      <c r="C61" s="151" t="s">
        <v>217</v>
      </c>
      <c r="H61" s="3405"/>
      <c r="I61" s="3466"/>
      <c r="J61" s="3466"/>
      <c r="K61" s="3466"/>
      <c r="L61" s="3466"/>
      <c r="M61" s="3466"/>
      <c r="N61" s="3467"/>
      <c r="O61" s="164" t="s">
        <v>188</v>
      </c>
      <c r="P61" s="164"/>
      <c r="Q61" s="3405"/>
      <c r="R61" s="3466"/>
      <c r="S61" s="3467"/>
      <c r="Z61" s="1154">
        <v>61</v>
      </c>
    </row>
    <row r="62" spans="1:26" s="95" customFormat="1" ht="11.25" customHeight="1">
      <c r="D62" s="165"/>
      <c r="E62" s="153" t="s">
        <v>189</v>
      </c>
      <c r="F62" s="154"/>
      <c r="H62" s="3422"/>
      <c r="I62" s="3527"/>
      <c r="J62" s="3527"/>
      <c r="K62" s="3528"/>
      <c r="L62" s="3527"/>
      <c r="M62" s="3527"/>
      <c r="N62" s="3529"/>
      <c r="O62" s="164" t="s">
        <v>190</v>
      </c>
      <c r="P62" s="166"/>
      <c r="Q62" s="3530"/>
      <c r="R62" s="3531"/>
      <c r="S62" s="3532"/>
      <c r="Z62" s="1154">
        <v>62</v>
      </c>
    </row>
    <row r="63" spans="1:26" s="95" customFormat="1" ht="11.25" customHeight="1">
      <c r="D63" s="165"/>
      <c r="E63" s="153" t="s">
        <v>47</v>
      </c>
      <c r="H63" s="3422"/>
      <c r="I63" s="3528"/>
      <c r="J63" s="3463"/>
      <c r="K63" s="167" t="s">
        <v>204</v>
      </c>
      <c r="L63" s="3422"/>
      <c r="M63" s="3527"/>
      <c r="N63" s="3463"/>
      <c r="O63" s="164" t="s">
        <v>39</v>
      </c>
      <c r="P63" s="166"/>
      <c r="Q63" s="3416"/>
      <c r="R63" s="3417"/>
      <c r="S63" s="3418"/>
      <c r="Z63" s="1154">
        <v>63</v>
      </c>
    </row>
    <row r="64" spans="1:26" s="95" customFormat="1" ht="11.25" customHeight="1">
      <c r="E64" s="153" t="s">
        <v>192</v>
      </c>
      <c r="H64" s="720"/>
      <c r="I64" s="166"/>
      <c r="J64" s="166"/>
      <c r="K64" s="495" t="s">
        <v>193</v>
      </c>
      <c r="L64" s="3533"/>
      <c r="M64" s="3534"/>
      <c r="N64" s="166"/>
      <c r="O64" s="164" t="s">
        <v>41</v>
      </c>
      <c r="P64" s="166"/>
      <c r="Q64" s="3416"/>
      <c r="R64" s="3417"/>
      <c r="S64" s="3418"/>
      <c r="Z64" s="1154">
        <v>64</v>
      </c>
    </row>
    <row r="65" spans="1:26" s="95" customFormat="1" ht="11.25" customHeight="1">
      <c r="D65" s="165"/>
      <c r="E65" s="153" t="s">
        <v>195</v>
      </c>
      <c r="H65" s="3525"/>
      <c r="I65" s="3526"/>
      <c r="J65" s="2644"/>
      <c r="K65" s="167" t="s">
        <v>40</v>
      </c>
      <c r="L65" s="3408"/>
      <c r="M65" s="3409"/>
      <c r="N65" s="3410"/>
      <c r="O65" s="3410"/>
      <c r="P65" s="3410"/>
      <c r="Q65" s="3409"/>
      <c r="R65" s="3409"/>
      <c r="S65" s="3465"/>
      <c r="Z65" s="1154">
        <v>65</v>
      </c>
    </row>
    <row r="66" spans="1:26" s="95" customFormat="1" ht="6.6"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218</v>
      </c>
      <c r="C67" s="151" t="s">
        <v>219</v>
      </c>
      <c r="H67" s="3405"/>
      <c r="I67" s="3466"/>
      <c r="J67" s="3466"/>
      <c r="K67" s="3466"/>
      <c r="L67" s="3466"/>
      <c r="M67" s="3466"/>
      <c r="N67" s="3467"/>
      <c r="O67" s="164" t="s">
        <v>188</v>
      </c>
      <c r="P67" s="164"/>
      <c r="Q67" s="3405"/>
      <c r="R67" s="3466"/>
      <c r="S67" s="3467"/>
      <c r="Z67" s="1154">
        <v>67</v>
      </c>
    </row>
    <row r="68" spans="1:26" s="95" customFormat="1" ht="11.25" customHeight="1">
      <c r="D68" s="165"/>
      <c r="E68" s="153" t="s">
        <v>189</v>
      </c>
      <c r="F68" s="154"/>
      <c r="H68" s="3422"/>
      <c r="I68" s="3527"/>
      <c r="J68" s="3527"/>
      <c r="K68" s="3528"/>
      <c r="L68" s="3527"/>
      <c r="M68" s="3527"/>
      <c r="N68" s="3529"/>
      <c r="O68" s="164" t="s">
        <v>190</v>
      </c>
      <c r="P68" s="166"/>
      <c r="Q68" s="3530"/>
      <c r="R68" s="3531"/>
      <c r="S68" s="3532"/>
      <c r="Z68" s="1154">
        <v>68</v>
      </c>
    </row>
    <row r="69" spans="1:26" s="95" customFormat="1" ht="11.25" customHeight="1">
      <c r="D69" s="165"/>
      <c r="E69" s="153" t="s">
        <v>47</v>
      </c>
      <c r="H69" s="3422"/>
      <c r="I69" s="3528"/>
      <c r="J69" s="3463"/>
      <c r="K69" s="167" t="s">
        <v>204</v>
      </c>
      <c r="L69" s="3422"/>
      <c r="M69" s="3527"/>
      <c r="N69" s="3463"/>
      <c r="O69" s="164" t="s">
        <v>39</v>
      </c>
      <c r="P69" s="166"/>
      <c r="Q69" s="3416"/>
      <c r="R69" s="3417"/>
      <c r="S69" s="3418"/>
      <c r="Z69" s="1154">
        <v>69</v>
      </c>
    </row>
    <row r="70" spans="1:26" s="95" customFormat="1" ht="11.25" customHeight="1">
      <c r="E70" s="153" t="s">
        <v>192</v>
      </c>
      <c r="H70" s="720"/>
      <c r="I70" s="166"/>
      <c r="J70" s="166"/>
      <c r="K70" s="495" t="s">
        <v>193</v>
      </c>
      <c r="L70" s="3533"/>
      <c r="M70" s="3534"/>
      <c r="N70" s="166"/>
      <c r="O70" s="164" t="s">
        <v>41</v>
      </c>
      <c r="P70" s="166"/>
      <c r="Q70" s="3416"/>
      <c r="R70" s="3417"/>
      <c r="S70" s="3418"/>
      <c r="Z70" s="1154">
        <v>70</v>
      </c>
    </row>
    <row r="71" spans="1:26" s="95" customFormat="1" ht="11.25" customHeight="1">
      <c r="D71" s="165"/>
      <c r="E71" s="153" t="s">
        <v>195</v>
      </c>
      <c r="H71" s="3525"/>
      <c r="I71" s="3526"/>
      <c r="J71" s="2644"/>
      <c r="K71" s="167" t="s">
        <v>40</v>
      </c>
      <c r="L71" s="3408"/>
      <c r="M71" s="3409"/>
      <c r="N71" s="3410"/>
      <c r="O71" s="3410"/>
      <c r="P71" s="3410"/>
      <c r="Q71" s="3409"/>
      <c r="R71" s="3409"/>
      <c r="S71" s="3465"/>
      <c r="Z71" s="1154">
        <v>71</v>
      </c>
    </row>
    <row r="72" spans="1:26" ht="6.6" customHeight="1">
      <c r="H72" s="2645"/>
      <c r="I72" s="2645"/>
      <c r="J72" s="2645"/>
      <c r="K72" s="167"/>
      <c r="L72" s="2645"/>
      <c r="M72" s="2645"/>
      <c r="N72" s="173"/>
      <c r="O72" s="174"/>
      <c r="P72" s="174"/>
      <c r="Q72" s="167"/>
      <c r="R72" s="174"/>
      <c r="S72" s="174"/>
      <c r="Z72" s="1154">
        <v>72</v>
      </c>
    </row>
    <row r="73" spans="1:26" s="95" customFormat="1" ht="11.25" customHeight="1">
      <c r="B73" s="151" t="s">
        <v>220</v>
      </c>
      <c r="C73" s="151" t="s">
        <v>221</v>
      </c>
      <c r="H73" s="3405"/>
      <c r="I73" s="3466"/>
      <c r="J73" s="3466"/>
      <c r="K73" s="3466"/>
      <c r="L73" s="3466"/>
      <c r="M73" s="3466"/>
      <c r="N73" s="3467"/>
      <c r="O73" s="164" t="s">
        <v>188</v>
      </c>
      <c r="P73" s="164"/>
      <c r="Q73" s="3405"/>
      <c r="R73" s="3466"/>
      <c r="S73" s="3467"/>
      <c r="Z73" s="1154">
        <v>73</v>
      </c>
    </row>
    <row r="74" spans="1:26" s="95" customFormat="1" ht="11.25" customHeight="1">
      <c r="D74" s="165"/>
      <c r="E74" s="153" t="s">
        <v>189</v>
      </c>
      <c r="F74" s="154"/>
      <c r="H74" s="3422"/>
      <c r="I74" s="3527"/>
      <c r="J74" s="3527"/>
      <c r="K74" s="3528"/>
      <c r="L74" s="3527"/>
      <c r="M74" s="3527"/>
      <c r="N74" s="3529"/>
      <c r="O74" s="164" t="s">
        <v>190</v>
      </c>
      <c r="P74" s="166"/>
      <c r="Q74" s="3530"/>
      <c r="R74" s="3531"/>
      <c r="S74" s="3532"/>
      <c r="Z74" s="1154">
        <v>74</v>
      </c>
    </row>
    <row r="75" spans="1:26" s="95" customFormat="1" ht="11.25" customHeight="1">
      <c r="D75" s="165"/>
      <c r="E75" s="153" t="s">
        <v>47</v>
      </c>
      <c r="H75" s="3422"/>
      <c r="I75" s="3528"/>
      <c r="J75" s="3463"/>
      <c r="K75" s="167" t="s">
        <v>204</v>
      </c>
      <c r="L75" s="3422"/>
      <c r="M75" s="3527"/>
      <c r="N75" s="3463"/>
      <c r="O75" s="164" t="s">
        <v>39</v>
      </c>
      <c r="P75" s="166"/>
      <c r="Q75" s="3416"/>
      <c r="R75" s="3417"/>
      <c r="S75" s="3418"/>
      <c r="Z75" s="1154">
        <v>75</v>
      </c>
    </row>
    <row r="76" spans="1:26" s="95" customFormat="1" ht="11.25" customHeight="1">
      <c r="E76" s="153" t="s">
        <v>192</v>
      </c>
      <c r="H76" s="720"/>
      <c r="I76" s="166"/>
      <c r="J76" s="166"/>
      <c r="K76" s="495" t="s">
        <v>193</v>
      </c>
      <c r="L76" s="3533"/>
      <c r="M76" s="3534"/>
      <c r="N76" s="166"/>
      <c r="O76" s="164" t="s">
        <v>41</v>
      </c>
      <c r="P76" s="166"/>
      <c r="Q76" s="3416"/>
      <c r="R76" s="3417"/>
      <c r="S76" s="3418"/>
      <c r="Z76" s="1154">
        <v>76</v>
      </c>
    </row>
    <row r="77" spans="1:26" s="95" customFormat="1" ht="11.25" customHeight="1">
      <c r="D77" s="165"/>
      <c r="E77" s="153" t="s">
        <v>195</v>
      </c>
      <c r="H77" s="3525"/>
      <c r="I77" s="3526"/>
      <c r="J77" s="2644"/>
      <c r="K77" s="167" t="s">
        <v>40</v>
      </c>
      <c r="L77" s="3408"/>
      <c r="M77" s="3409"/>
      <c r="N77" s="3410"/>
      <c r="O77" s="3410"/>
      <c r="P77" s="3410"/>
      <c r="Q77" s="3409"/>
      <c r="R77" s="3409"/>
      <c r="S77" s="3465"/>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35" customHeight="1">
      <c r="A79" s="134" t="s">
        <v>31</v>
      </c>
      <c r="B79" s="134" t="s">
        <v>222</v>
      </c>
      <c r="D79" s="134"/>
      <c r="F79" s="134"/>
      <c r="G79" s="134"/>
      <c r="H79" s="169"/>
      <c r="I79" s="169"/>
      <c r="J79" s="169"/>
      <c r="K79" s="879" t="s">
        <v>184</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185</v>
      </c>
      <c r="C81" s="151" t="s">
        <v>223</v>
      </c>
      <c r="H81" s="3405"/>
      <c r="I81" s="3466"/>
      <c r="J81" s="3466"/>
      <c r="K81" s="3466"/>
      <c r="L81" s="3466"/>
      <c r="M81" s="3466"/>
      <c r="N81" s="3467"/>
      <c r="O81" s="164" t="s">
        <v>188</v>
      </c>
      <c r="P81" s="164"/>
      <c r="Q81" s="3405"/>
      <c r="R81" s="3466"/>
      <c r="S81" s="3467"/>
      <c r="Z81" s="1154">
        <v>81</v>
      </c>
    </row>
    <row r="82" spans="2:26" s="95" customFormat="1" ht="11.25" customHeight="1">
      <c r="D82" s="165"/>
      <c r="E82" s="153" t="s">
        <v>189</v>
      </c>
      <c r="F82" s="154"/>
      <c r="H82" s="3422"/>
      <c r="I82" s="3527"/>
      <c r="J82" s="3527"/>
      <c r="K82" s="3528"/>
      <c r="L82" s="3527"/>
      <c r="M82" s="3527"/>
      <c r="N82" s="3529"/>
      <c r="O82" s="164" t="s">
        <v>190</v>
      </c>
      <c r="P82" s="166"/>
      <c r="Q82" s="3530"/>
      <c r="R82" s="3531"/>
      <c r="S82" s="3532"/>
      <c r="Z82" s="1154">
        <v>82</v>
      </c>
    </row>
    <row r="83" spans="2:26" s="95" customFormat="1" ht="11.25" customHeight="1">
      <c r="D83" s="165"/>
      <c r="E83" s="153" t="s">
        <v>47</v>
      </c>
      <c r="H83" s="3422"/>
      <c r="I83" s="3528"/>
      <c r="J83" s="3463"/>
      <c r="K83" s="167" t="s">
        <v>204</v>
      </c>
      <c r="L83" s="3422"/>
      <c r="M83" s="3527"/>
      <c r="N83" s="3463"/>
      <c r="O83" s="164" t="s">
        <v>39</v>
      </c>
      <c r="P83" s="166"/>
      <c r="Q83" s="3416"/>
      <c r="R83" s="3417"/>
      <c r="S83" s="3418"/>
      <c r="Z83" s="1154">
        <v>83</v>
      </c>
    </row>
    <row r="84" spans="2:26" s="95" customFormat="1" ht="11.25" customHeight="1">
      <c r="E84" s="153" t="s">
        <v>192</v>
      </c>
      <c r="H84" s="720"/>
      <c r="I84" s="166"/>
      <c r="J84" s="166"/>
      <c r="K84" s="495" t="s">
        <v>193</v>
      </c>
      <c r="L84" s="3533"/>
      <c r="M84" s="3534"/>
      <c r="N84" s="166"/>
      <c r="O84" s="164" t="s">
        <v>41</v>
      </c>
      <c r="P84" s="166"/>
      <c r="Q84" s="3416"/>
      <c r="R84" s="3417"/>
      <c r="S84" s="3418"/>
      <c r="Z84" s="1154">
        <v>84</v>
      </c>
    </row>
    <row r="85" spans="2:26" s="95" customFormat="1" ht="11.25" customHeight="1">
      <c r="D85" s="165"/>
      <c r="E85" s="153" t="s">
        <v>195</v>
      </c>
      <c r="H85" s="3525"/>
      <c r="I85" s="3526"/>
      <c r="J85" s="2644"/>
      <c r="K85" s="167" t="s">
        <v>40</v>
      </c>
      <c r="L85" s="3408"/>
      <c r="M85" s="3409"/>
      <c r="N85" s="3410"/>
      <c r="O85" s="3410"/>
      <c r="P85" s="3410"/>
      <c r="Q85" s="3409"/>
      <c r="R85" s="3409"/>
      <c r="S85" s="3465"/>
      <c r="Z85" s="1154">
        <v>85</v>
      </c>
    </row>
    <row r="86" spans="2:26" ht="6.6" customHeight="1">
      <c r="H86" s="2645"/>
      <c r="I86" s="2645"/>
      <c r="J86" s="2645"/>
      <c r="K86" s="167"/>
      <c r="L86" s="2645"/>
      <c r="M86" s="2645"/>
      <c r="N86" s="173"/>
      <c r="O86" s="174"/>
      <c r="P86" s="174"/>
      <c r="Q86" s="167"/>
      <c r="R86" s="174"/>
      <c r="S86" s="174"/>
      <c r="Z86" s="1154">
        <v>86</v>
      </c>
    </row>
    <row r="87" spans="2:26" s="95" customFormat="1" ht="11.25" customHeight="1">
      <c r="B87" s="151" t="s">
        <v>197</v>
      </c>
      <c r="C87" s="151" t="s">
        <v>224</v>
      </c>
      <c r="H87" s="3405"/>
      <c r="I87" s="3466"/>
      <c r="J87" s="3466"/>
      <c r="K87" s="3466"/>
      <c r="L87" s="3466"/>
      <c r="M87" s="3466"/>
      <c r="N87" s="3467"/>
      <c r="O87" s="164" t="s">
        <v>188</v>
      </c>
      <c r="P87" s="164"/>
      <c r="Q87" s="3405"/>
      <c r="R87" s="3466"/>
      <c r="S87" s="3467"/>
      <c r="Z87" s="1154">
        <v>87</v>
      </c>
    </row>
    <row r="88" spans="2:26" s="95" customFormat="1" ht="11.25" customHeight="1">
      <c r="D88" s="165"/>
      <c r="E88" s="153" t="s">
        <v>189</v>
      </c>
      <c r="F88" s="154"/>
      <c r="H88" s="3422"/>
      <c r="I88" s="3527"/>
      <c r="J88" s="3527"/>
      <c r="K88" s="3528"/>
      <c r="L88" s="3527"/>
      <c r="M88" s="3527"/>
      <c r="N88" s="3529"/>
      <c r="O88" s="164" t="s">
        <v>190</v>
      </c>
      <c r="P88" s="166"/>
      <c r="Q88" s="3530"/>
      <c r="R88" s="3531"/>
      <c r="S88" s="3532"/>
      <c r="Z88" s="1154">
        <v>88</v>
      </c>
    </row>
    <row r="89" spans="2:26" s="95" customFormat="1" ht="11.25" customHeight="1">
      <c r="D89" s="165"/>
      <c r="E89" s="153" t="s">
        <v>47</v>
      </c>
      <c r="H89" s="3422"/>
      <c r="I89" s="3528"/>
      <c r="J89" s="3463"/>
      <c r="K89" s="167" t="s">
        <v>204</v>
      </c>
      <c r="L89" s="3422"/>
      <c r="M89" s="3527"/>
      <c r="N89" s="3463"/>
      <c r="O89" s="164" t="s">
        <v>39</v>
      </c>
      <c r="P89" s="166"/>
      <c r="Q89" s="3416"/>
      <c r="R89" s="3417"/>
      <c r="S89" s="3418"/>
      <c r="Z89" s="1154">
        <v>89</v>
      </c>
    </row>
    <row r="90" spans="2:26" s="95" customFormat="1" ht="11.25" customHeight="1">
      <c r="E90" s="153" t="s">
        <v>192</v>
      </c>
      <c r="H90" s="720"/>
      <c r="I90" s="166"/>
      <c r="J90" s="166"/>
      <c r="K90" s="495" t="s">
        <v>193</v>
      </c>
      <c r="L90" s="3533"/>
      <c r="M90" s="3534"/>
      <c r="N90" s="166"/>
      <c r="O90" s="164" t="s">
        <v>41</v>
      </c>
      <c r="P90" s="166"/>
      <c r="Q90" s="3416"/>
      <c r="R90" s="3417"/>
      <c r="S90" s="3418"/>
      <c r="Z90" s="1154">
        <v>90</v>
      </c>
    </row>
    <row r="91" spans="2:26" s="95" customFormat="1" ht="11.25" customHeight="1">
      <c r="D91" s="165"/>
      <c r="E91" s="153" t="s">
        <v>195</v>
      </c>
      <c r="H91" s="3525"/>
      <c r="I91" s="3526"/>
      <c r="J91" s="2644"/>
      <c r="K91" s="167" t="s">
        <v>40</v>
      </c>
      <c r="L91" s="3408"/>
      <c r="M91" s="3409"/>
      <c r="N91" s="3410"/>
      <c r="O91" s="3410"/>
      <c r="P91" s="3410"/>
      <c r="Q91" s="3409"/>
      <c r="R91" s="3409"/>
      <c r="S91" s="3465"/>
      <c r="Z91" s="1154">
        <v>91</v>
      </c>
    </row>
    <row r="92" spans="2:26" ht="6.6" customHeight="1">
      <c r="H92" s="2645"/>
      <c r="I92" s="2645"/>
      <c r="J92" s="2645"/>
      <c r="K92" s="167"/>
      <c r="L92" s="2645"/>
      <c r="M92" s="2645"/>
      <c r="N92" s="173"/>
      <c r="O92" s="174"/>
      <c r="P92" s="174"/>
      <c r="Q92" s="167"/>
      <c r="R92" s="174"/>
      <c r="S92" s="174"/>
      <c r="Z92" s="1154">
        <v>92</v>
      </c>
    </row>
    <row r="93" spans="2:26" s="95" customFormat="1" ht="11.25" customHeight="1">
      <c r="B93" s="151" t="s">
        <v>218</v>
      </c>
      <c r="C93" s="151" t="s">
        <v>225</v>
      </c>
      <c r="F93" s="96"/>
      <c r="H93" s="3405"/>
      <c r="I93" s="3466"/>
      <c r="J93" s="3466"/>
      <c r="K93" s="3466"/>
      <c r="L93" s="3466"/>
      <c r="M93" s="3466"/>
      <c r="N93" s="3467"/>
      <c r="O93" s="164" t="s">
        <v>188</v>
      </c>
      <c r="P93" s="164"/>
      <c r="Q93" s="3405"/>
      <c r="R93" s="3466"/>
      <c r="S93" s="3467"/>
      <c r="Z93" s="1154">
        <v>93</v>
      </c>
    </row>
    <row r="94" spans="2:26" s="95" customFormat="1" ht="11.25" customHeight="1">
      <c r="D94" s="165"/>
      <c r="E94" s="153" t="s">
        <v>189</v>
      </c>
      <c r="F94" s="154"/>
      <c r="H94" s="3422"/>
      <c r="I94" s="3527"/>
      <c r="J94" s="3527"/>
      <c r="K94" s="3528"/>
      <c r="L94" s="3527"/>
      <c r="M94" s="3527"/>
      <c r="N94" s="3529"/>
      <c r="O94" s="164" t="s">
        <v>190</v>
      </c>
      <c r="P94" s="166"/>
      <c r="Q94" s="3530"/>
      <c r="R94" s="3531"/>
      <c r="S94" s="3532"/>
      <c r="Z94" s="1154">
        <v>94</v>
      </c>
    </row>
    <row r="95" spans="2:26" s="95" customFormat="1" ht="11.25" customHeight="1">
      <c r="D95" s="165"/>
      <c r="E95" s="153" t="s">
        <v>47</v>
      </c>
      <c r="H95" s="3422"/>
      <c r="I95" s="3528"/>
      <c r="J95" s="3463"/>
      <c r="K95" s="167" t="s">
        <v>204</v>
      </c>
      <c r="L95" s="3422"/>
      <c r="M95" s="3527"/>
      <c r="N95" s="3463"/>
      <c r="O95" s="164" t="s">
        <v>39</v>
      </c>
      <c r="P95" s="166"/>
      <c r="Q95" s="3416"/>
      <c r="R95" s="3417"/>
      <c r="S95" s="3418"/>
      <c r="Z95" s="1154">
        <v>95</v>
      </c>
    </row>
    <row r="96" spans="2:26" s="95" customFormat="1" ht="11.25" customHeight="1">
      <c r="D96" s="165"/>
      <c r="E96" s="153" t="s">
        <v>192</v>
      </c>
      <c r="H96" s="720"/>
      <c r="I96" s="166"/>
      <c r="J96" s="166"/>
      <c r="K96" s="495" t="s">
        <v>193</v>
      </c>
      <c r="L96" s="3533"/>
      <c r="M96" s="3534"/>
      <c r="N96" s="166"/>
      <c r="O96" s="164" t="s">
        <v>41</v>
      </c>
      <c r="P96" s="166"/>
      <c r="Q96" s="3416"/>
      <c r="R96" s="3417"/>
      <c r="S96" s="3418"/>
      <c r="Z96" s="1154">
        <v>96</v>
      </c>
    </row>
    <row r="97" spans="2:26" s="95" customFormat="1" ht="11.25" customHeight="1">
      <c r="D97" s="165"/>
      <c r="E97" s="153" t="s">
        <v>195</v>
      </c>
      <c r="H97" s="3525"/>
      <c r="I97" s="3526"/>
      <c r="J97" s="2644"/>
      <c r="K97" s="167" t="s">
        <v>40</v>
      </c>
      <c r="L97" s="3408"/>
      <c r="M97" s="3409"/>
      <c r="N97" s="3410"/>
      <c r="O97" s="3410"/>
      <c r="P97" s="3410"/>
      <c r="Q97" s="3409"/>
      <c r="R97" s="3409"/>
      <c r="S97" s="3465"/>
      <c r="Z97" s="1154">
        <v>97</v>
      </c>
    </row>
    <row r="98" spans="2:26" ht="6.6" customHeight="1">
      <c r="H98" s="2645"/>
      <c r="I98" s="2645"/>
      <c r="J98" s="2645"/>
      <c r="K98" s="167"/>
      <c r="L98" s="2645"/>
      <c r="M98" s="2645"/>
      <c r="N98" s="173"/>
      <c r="O98" s="174"/>
      <c r="P98" s="174"/>
      <c r="Q98" s="167"/>
      <c r="R98" s="174"/>
      <c r="S98" s="174"/>
      <c r="Z98" s="1154">
        <v>98</v>
      </c>
    </row>
    <row r="99" spans="2:26" s="95" customFormat="1" ht="11.25" customHeight="1">
      <c r="B99" s="151" t="s">
        <v>220</v>
      </c>
      <c r="C99" s="151" t="s">
        <v>226</v>
      </c>
      <c r="H99" s="3405"/>
      <c r="I99" s="3466"/>
      <c r="J99" s="3466"/>
      <c r="K99" s="3466"/>
      <c r="L99" s="3466"/>
      <c r="M99" s="3466"/>
      <c r="N99" s="3467"/>
      <c r="O99" s="164" t="s">
        <v>188</v>
      </c>
      <c r="P99" s="164"/>
      <c r="Q99" s="3405"/>
      <c r="R99" s="3466"/>
      <c r="S99" s="3467"/>
      <c r="Z99" s="1154">
        <v>99</v>
      </c>
    </row>
    <row r="100" spans="2:26" s="95" customFormat="1" ht="11.25" customHeight="1">
      <c r="D100" s="165"/>
      <c r="E100" s="153" t="s">
        <v>189</v>
      </c>
      <c r="F100" s="154"/>
      <c r="H100" s="3422"/>
      <c r="I100" s="3527"/>
      <c r="J100" s="3527"/>
      <c r="K100" s="3528"/>
      <c r="L100" s="3527"/>
      <c r="M100" s="3527"/>
      <c r="N100" s="3529"/>
      <c r="O100" s="164" t="s">
        <v>190</v>
      </c>
      <c r="P100" s="166"/>
      <c r="Q100" s="3530"/>
      <c r="R100" s="3531"/>
      <c r="S100" s="3532"/>
      <c r="Z100" s="1154">
        <v>100</v>
      </c>
    </row>
    <row r="101" spans="2:26" s="95" customFormat="1" ht="11.25" customHeight="1">
      <c r="D101" s="165"/>
      <c r="E101" s="153" t="s">
        <v>47</v>
      </c>
      <c r="H101" s="3422"/>
      <c r="I101" s="3528"/>
      <c r="J101" s="3463"/>
      <c r="K101" s="167" t="s">
        <v>204</v>
      </c>
      <c r="L101" s="3422"/>
      <c r="M101" s="3527"/>
      <c r="N101" s="3463"/>
      <c r="O101" s="164" t="s">
        <v>39</v>
      </c>
      <c r="P101" s="166"/>
      <c r="Q101" s="3416"/>
      <c r="R101" s="3417"/>
      <c r="S101" s="3418"/>
      <c r="Z101" s="1154">
        <v>101</v>
      </c>
    </row>
    <row r="102" spans="2:26" s="95" customFormat="1" ht="11.25" customHeight="1">
      <c r="D102" s="165"/>
      <c r="E102" s="153" t="s">
        <v>192</v>
      </c>
      <c r="H102" s="720"/>
      <c r="I102" s="166"/>
      <c r="J102" s="166"/>
      <c r="K102" s="495" t="s">
        <v>193</v>
      </c>
      <c r="L102" s="3533"/>
      <c r="M102" s="3534"/>
      <c r="N102" s="166"/>
      <c r="O102" s="164" t="s">
        <v>41</v>
      </c>
      <c r="P102" s="166"/>
      <c r="Q102" s="3416"/>
      <c r="R102" s="3417"/>
      <c r="S102" s="3418"/>
      <c r="Z102" s="1154">
        <v>102</v>
      </c>
    </row>
    <row r="103" spans="2:26" ht="11.25" customHeight="1">
      <c r="E103" s="153" t="s">
        <v>195</v>
      </c>
      <c r="F103" s="95"/>
      <c r="G103" s="95"/>
      <c r="H103" s="3525"/>
      <c r="I103" s="3526"/>
      <c r="J103" s="2644"/>
      <c r="K103" s="167" t="s">
        <v>40</v>
      </c>
      <c r="L103" s="3408"/>
      <c r="M103" s="3409"/>
      <c r="N103" s="3410"/>
      <c r="O103" s="3410"/>
      <c r="P103" s="3410"/>
      <c r="Q103" s="3409"/>
      <c r="R103" s="3409"/>
      <c r="S103" s="3465"/>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227</v>
      </c>
      <c r="C105" s="151" t="s">
        <v>228</v>
      </c>
      <c r="H105" s="3405"/>
      <c r="I105" s="3466"/>
      <c r="J105" s="3466"/>
      <c r="K105" s="3466"/>
      <c r="L105" s="3466"/>
      <c r="M105" s="3466"/>
      <c r="N105" s="3467"/>
      <c r="O105" s="164" t="s">
        <v>188</v>
      </c>
      <c r="P105" s="164"/>
      <c r="Q105" s="3405"/>
      <c r="R105" s="3466"/>
      <c r="S105" s="3467"/>
      <c r="Z105" s="1154">
        <v>105</v>
      </c>
    </row>
    <row r="106" spans="2:26" s="95" customFormat="1" ht="11.25" customHeight="1">
      <c r="D106" s="165"/>
      <c r="E106" s="153" t="s">
        <v>189</v>
      </c>
      <c r="F106" s="154"/>
      <c r="H106" s="3422"/>
      <c r="I106" s="3527"/>
      <c r="J106" s="3527"/>
      <c r="K106" s="3528"/>
      <c r="L106" s="3527"/>
      <c r="M106" s="3527"/>
      <c r="N106" s="3529"/>
      <c r="O106" s="164" t="s">
        <v>190</v>
      </c>
      <c r="P106" s="166"/>
      <c r="Q106" s="3530"/>
      <c r="R106" s="3531"/>
      <c r="S106" s="3532"/>
      <c r="Z106" s="1154">
        <v>106</v>
      </c>
    </row>
    <row r="107" spans="2:26" s="95" customFormat="1" ht="11.25" customHeight="1">
      <c r="D107" s="165"/>
      <c r="E107" s="153" t="s">
        <v>47</v>
      </c>
      <c r="H107" s="3422"/>
      <c r="I107" s="3528"/>
      <c r="J107" s="3463"/>
      <c r="K107" s="167" t="s">
        <v>204</v>
      </c>
      <c r="L107" s="3422"/>
      <c r="M107" s="3527"/>
      <c r="N107" s="3463"/>
      <c r="O107" s="164" t="s">
        <v>39</v>
      </c>
      <c r="P107" s="166"/>
      <c r="Q107" s="3416"/>
      <c r="R107" s="3417"/>
      <c r="S107" s="3418"/>
      <c r="Z107" s="1154">
        <v>107</v>
      </c>
    </row>
    <row r="108" spans="2:26" s="95" customFormat="1" ht="11.25" customHeight="1">
      <c r="D108" s="165"/>
      <c r="E108" s="153" t="s">
        <v>192</v>
      </c>
      <c r="H108" s="720"/>
      <c r="I108" s="166"/>
      <c r="J108" s="166"/>
      <c r="K108" s="495" t="s">
        <v>193</v>
      </c>
      <c r="L108" s="3533"/>
      <c r="M108" s="3534"/>
      <c r="N108" s="166"/>
      <c r="O108" s="164" t="s">
        <v>41</v>
      </c>
      <c r="P108" s="166"/>
      <c r="Q108" s="3416"/>
      <c r="R108" s="3417"/>
      <c r="S108" s="3418"/>
      <c r="Z108" s="1154">
        <v>108</v>
      </c>
    </row>
    <row r="109" spans="2:26" ht="11.25" customHeight="1">
      <c r="E109" s="153" t="s">
        <v>195</v>
      </c>
      <c r="F109" s="95"/>
      <c r="G109" s="95"/>
      <c r="H109" s="3525"/>
      <c r="I109" s="3526"/>
      <c r="J109" s="2644"/>
      <c r="K109" s="167" t="s">
        <v>40</v>
      </c>
      <c r="L109" s="3408"/>
      <c r="M109" s="3409"/>
      <c r="N109" s="3410"/>
      <c r="O109" s="3410"/>
      <c r="P109" s="3410"/>
      <c r="Q109" s="3409"/>
      <c r="R109" s="3409"/>
      <c r="S109" s="3465"/>
      <c r="Z109" s="1154">
        <v>109</v>
      </c>
    </row>
    <row r="110" spans="2:26" ht="6.6"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229</v>
      </c>
      <c r="C111" s="151" t="s">
        <v>230</v>
      </c>
      <c r="H111" s="3405"/>
      <c r="I111" s="3466"/>
      <c r="J111" s="3466"/>
      <c r="K111" s="3466"/>
      <c r="L111" s="3466"/>
      <c r="M111" s="3466"/>
      <c r="N111" s="3467"/>
      <c r="O111" s="164" t="s">
        <v>188</v>
      </c>
      <c r="P111" s="164"/>
      <c r="Q111" s="3405"/>
      <c r="R111" s="3466"/>
      <c r="S111" s="3467"/>
      <c r="Z111" s="1154">
        <v>111</v>
      </c>
    </row>
    <row r="112" spans="2:26" s="95" customFormat="1" ht="11.25" customHeight="1">
      <c r="D112" s="165"/>
      <c r="E112" s="153" t="s">
        <v>189</v>
      </c>
      <c r="F112" s="154"/>
      <c r="H112" s="3422"/>
      <c r="I112" s="3527"/>
      <c r="J112" s="3527"/>
      <c r="K112" s="3528"/>
      <c r="L112" s="3527"/>
      <c r="M112" s="3527"/>
      <c r="N112" s="3529"/>
      <c r="O112" s="164" t="s">
        <v>190</v>
      </c>
      <c r="P112" s="166"/>
      <c r="Q112" s="3530"/>
      <c r="R112" s="3531"/>
      <c r="S112" s="3532"/>
      <c r="Z112" s="1154">
        <v>112</v>
      </c>
    </row>
    <row r="113" spans="1:26" s="95" customFormat="1" ht="11.25" customHeight="1">
      <c r="D113" s="165"/>
      <c r="E113" s="153" t="s">
        <v>47</v>
      </c>
      <c r="H113" s="3422"/>
      <c r="I113" s="3528"/>
      <c r="J113" s="3463"/>
      <c r="K113" s="167" t="s">
        <v>204</v>
      </c>
      <c r="L113" s="3422"/>
      <c r="M113" s="3527"/>
      <c r="N113" s="3463"/>
      <c r="O113" s="164" t="s">
        <v>39</v>
      </c>
      <c r="P113" s="166"/>
      <c r="Q113" s="3416"/>
      <c r="R113" s="3417"/>
      <c r="S113" s="3418"/>
      <c r="Z113" s="1154">
        <v>113</v>
      </c>
    </row>
    <row r="114" spans="1:26" s="95" customFormat="1" ht="11.25" customHeight="1">
      <c r="D114" s="165"/>
      <c r="E114" s="153" t="s">
        <v>192</v>
      </c>
      <c r="H114" s="720"/>
      <c r="I114" s="166"/>
      <c r="J114" s="166"/>
      <c r="K114" s="495" t="s">
        <v>193</v>
      </c>
      <c r="L114" s="3533"/>
      <c r="M114" s="3534"/>
      <c r="N114" s="166"/>
      <c r="O114" s="164" t="s">
        <v>41</v>
      </c>
      <c r="P114" s="166"/>
      <c r="Q114" s="3416"/>
      <c r="R114" s="3417"/>
      <c r="S114" s="3418"/>
      <c r="Z114" s="1154">
        <v>114</v>
      </c>
    </row>
    <row r="115" spans="1:26" s="95" customFormat="1" ht="11.25" customHeight="1">
      <c r="D115" s="165"/>
      <c r="E115" s="153" t="s">
        <v>195</v>
      </c>
      <c r="H115" s="3525"/>
      <c r="I115" s="3526"/>
      <c r="J115" s="2644"/>
      <c r="K115" s="167" t="s">
        <v>40</v>
      </c>
      <c r="L115" s="3408"/>
      <c r="M115" s="3409"/>
      <c r="N115" s="3410"/>
      <c r="O115" s="3410"/>
      <c r="P115" s="3410"/>
      <c r="Q115" s="3409"/>
      <c r="R115" s="3409"/>
      <c r="S115" s="3465"/>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43</v>
      </c>
      <c r="B117" s="151" t="s">
        <v>231</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185</v>
      </c>
      <c r="C118" s="151" t="s">
        <v>232</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200</v>
      </c>
      <c r="D120" s="151" t="s">
        <v>233</v>
      </c>
      <c r="H120" s="3405"/>
      <c r="I120" s="3406"/>
      <c r="J120" s="3407"/>
      <c r="K120" s="167" t="s">
        <v>35</v>
      </c>
      <c r="L120" s="3405"/>
      <c r="M120" s="3466"/>
      <c r="N120" s="3467"/>
      <c r="O120" s="164" t="s">
        <v>234</v>
      </c>
      <c r="P120" s="166"/>
      <c r="Q120" s="3468"/>
      <c r="R120" s="3469"/>
      <c r="S120" s="3470"/>
      <c r="Z120" s="1154">
        <v>120</v>
      </c>
    </row>
    <row r="121" spans="1:26" s="95" customFormat="1" ht="11.25" customHeight="1">
      <c r="C121" s="151"/>
      <c r="D121" s="165"/>
      <c r="E121" s="153" t="s">
        <v>235</v>
      </c>
      <c r="F121" s="154"/>
      <c r="H121" s="3454"/>
      <c r="I121" s="3455"/>
      <c r="J121" s="3456"/>
      <c r="K121" s="3457"/>
      <c r="L121" s="3455"/>
      <c r="M121" s="3455"/>
      <c r="N121" s="3458"/>
      <c r="O121" s="164" t="s">
        <v>47</v>
      </c>
      <c r="P121" s="166"/>
      <c r="Q121" s="3459"/>
      <c r="R121" s="3460"/>
      <c r="S121" s="3461"/>
      <c r="Z121" s="1154">
        <v>121</v>
      </c>
    </row>
    <row r="122" spans="1:26" s="95" customFormat="1" ht="11.25" customHeight="1">
      <c r="C122" s="151"/>
      <c r="D122" s="165"/>
      <c r="E122" s="153" t="s">
        <v>192</v>
      </c>
      <c r="H122" s="866"/>
      <c r="I122" s="495" t="s">
        <v>193</v>
      </c>
      <c r="J122" s="3462"/>
      <c r="K122" s="3463"/>
      <c r="L122" s="167" t="s">
        <v>40</v>
      </c>
      <c r="M122" s="3464"/>
      <c r="N122" s="3410"/>
      <c r="O122" s="3410"/>
      <c r="P122" s="3410"/>
      <c r="Q122" s="3409"/>
      <c r="R122" s="3409"/>
      <c r="S122" s="3465"/>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236</v>
      </c>
      <c r="H124" s="3405"/>
      <c r="I124" s="3406"/>
      <c r="J124" s="3407"/>
      <c r="K124" s="167" t="s">
        <v>35</v>
      </c>
      <c r="L124" s="3405"/>
      <c r="M124" s="3466"/>
      <c r="N124" s="3467"/>
      <c r="O124" s="164" t="s">
        <v>234</v>
      </c>
      <c r="P124" s="166"/>
      <c r="Q124" s="3468"/>
      <c r="R124" s="3469"/>
      <c r="S124" s="3470"/>
      <c r="Z124" s="1154">
        <v>124</v>
      </c>
    </row>
    <row r="125" spans="1:26" s="95" customFormat="1" ht="11.25" hidden="1" customHeight="1">
      <c r="C125" s="151"/>
      <c r="D125" s="165"/>
      <c r="E125" s="153" t="s">
        <v>235</v>
      </c>
      <c r="F125" s="154"/>
      <c r="H125" s="3454"/>
      <c r="I125" s="3455"/>
      <c r="J125" s="3456"/>
      <c r="K125" s="3457"/>
      <c r="L125" s="3455"/>
      <c r="M125" s="3455"/>
      <c r="N125" s="3458"/>
      <c r="O125" s="164" t="s">
        <v>47</v>
      </c>
      <c r="P125" s="166"/>
      <c r="Q125" s="3459"/>
      <c r="R125" s="3460"/>
      <c r="S125" s="3461"/>
      <c r="Z125" s="1154">
        <v>125</v>
      </c>
    </row>
    <row r="126" spans="1:26" s="95" customFormat="1" ht="11.25" hidden="1" customHeight="1">
      <c r="C126" s="151"/>
      <c r="D126" s="165"/>
      <c r="E126" s="153" t="s">
        <v>192</v>
      </c>
      <c r="H126" s="866"/>
      <c r="I126" s="495" t="s">
        <v>193</v>
      </c>
      <c r="J126" s="3462"/>
      <c r="K126" s="3463"/>
      <c r="L126" s="167" t="s">
        <v>40</v>
      </c>
      <c r="M126" s="3464"/>
      <c r="N126" s="3410"/>
      <c r="O126" s="3410"/>
      <c r="P126" s="3410"/>
      <c r="Q126" s="3409"/>
      <c r="R126" s="3409"/>
      <c r="S126" s="3465"/>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237</v>
      </c>
      <c r="H128" s="3405"/>
      <c r="I128" s="3406"/>
      <c r="J128" s="3407"/>
      <c r="K128" s="167" t="s">
        <v>35</v>
      </c>
      <c r="L128" s="3405"/>
      <c r="M128" s="3466"/>
      <c r="N128" s="3467"/>
      <c r="O128" s="164" t="s">
        <v>234</v>
      </c>
      <c r="P128" s="166"/>
      <c r="Q128" s="3468"/>
      <c r="R128" s="3469"/>
      <c r="S128" s="3470"/>
      <c r="Z128" s="1154">
        <v>128</v>
      </c>
    </row>
    <row r="129" spans="3:26" s="95" customFormat="1" ht="11.25" hidden="1" customHeight="1">
      <c r="C129" s="151"/>
      <c r="D129" s="165"/>
      <c r="E129" s="153" t="s">
        <v>235</v>
      </c>
      <c r="F129" s="154"/>
      <c r="H129" s="3454"/>
      <c r="I129" s="3455"/>
      <c r="J129" s="3456"/>
      <c r="K129" s="3457"/>
      <c r="L129" s="3455"/>
      <c r="M129" s="3455"/>
      <c r="N129" s="3458"/>
      <c r="O129" s="164" t="s">
        <v>47</v>
      </c>
      <c r="P129" s="166"/>
      <c r="Q129" s="3459"/>
      <c r="R129" s="3460"/>
      <c r="S129" s="3461"/>
      <c r="Z129" s="1154">
        <v>129</v>
      </c>
    </row>
    <row r="130" spans="3:26" s="95" customFormat="1" ht="11.25" hidden="1" customHeight="1">
      <c r="C130" s="151"/>
      <c r="D130" s="165"/>
      <c r="E130" s="153" t="s">
        <v>192</v>
      </c>
      <c r="H130" s="866"/>
      <c r="I130" s="495" t="s">
        <v>193</v>
      </c>
      <c r="J130" s="3462"/>
      <c r="K130" s="3463"/>
      <c r="L130" s="167" t="s">
        <v>40</v>
      </c>
      <c r="M130" s="3464"/>
      <c r="N130" s="3410"/>
      <c r="O130" s="3410"/>
      <c r="P130" s="3410"/>
      <c r="Q130" s="3409"/>
      <c r="R130" s="3409"/>
      <c r="S130" s="3465"/>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238</v>
      </c>
      <c r="H132" s="3405"/>
      <c r="I132" s="3406"/>
      <c r="J132" s="3407"/>
      <c r="K132" s="167" t="s">
        <v>35</v>
      </c>
      <c r="L132" s="3405"/>
      <c r="M132" s="3466"/>
      <c r="N132" s="3467"/>
      <c r="O132" s="164" t="s">
        <v>234</v>
      </c>
      <c r="P132" s="166"/>
      <c r="Q132" s="3468"/>
      <c r="R132" s="3469"/>
      <c r="S132" s="3470"/>
      <c r="Z132" s="1154">
        <v>132</v>
      </c>
    </row>
    <row r="133" spans="3:26" s="95" customFormat="1" ht="11.25" hidden="1" customHeight="1">
      <c r="C133" s="151"/>
      <c r="D133" s="165"/>
      <c r="E133" s="153" t="s">
        <v>235</v>
      </c>
      <c r="F133" s="154"/>
      <c r="H133" s="3454"/>
      <c r="I133" s="3455"/>
      <c r="J133" s="3456"/>
      <c r="K133" s="3457"/>
      <c r="L133" s="3455"/>
      <c r="M133" s="3455"/>
      <c r="N133" s="3458"/>
      <c r="O133" s="164" t="s">
        <v>47</v>
      </c>
      <c r="P133" s="166"/>
      <c r="Q133" s="3459"/>
      <c r="R133" s="3460"/>
      <c r="S133" s="3461"/>
      <c r="Z133" s="1154">
        <v>133</v>
      </c>
    </row>
    <row r="134" spans="3:26" s="95" customFormat="1" ht="11.25" hidden="1" customHeight="1">
      <c r="C134" s="151"/>
      <c r="D134" s="165"/>
      <c r="E134" s="153" t="s">
        <v>192</v>
      </c>
      <c r="H134" s="866"/>
      <c r="I134" s="495" t="s">
        <v>193</v>
      </c>
      <c r="J134" s="3462"/>
      <c r="K134" s="3463"/>
      <c r="L134" s="167" t="s">
        <v>40</v>
      </c>
      <c r="M134" s="3464"/>
      <c r="N134" s="3410"/>
      <c r="O134" s="3410"/>
      <c r="P134" s="3410"/>
      <c r="Q134" s="3409"/>
      <c r="R134" s="3409"/>
      <c r="S134" s="3465"/>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239</v>
      </c>
      <c r="H136" s="3405"/>
      <c r="I136" s="3406"/>
      <c r="J136" s="3407"/>
      <c r="K136" s="167" t="s">
        <v>35</v>
      </c>
      <c r="L136" s="3405"/>
      <c r="M136" s="3466"/>
      <c r="N136" s="3467"/>
      <c r="O136" s="164" t="s">
        <v>234</v>
      </c>
      <c r="P136" s="166"/>
      <c r="Q136" s="3468"/>
      <c r="R136" s="3469"/>
      <c r="S136" s="3470"/>
      <c r="Z136" s="1154">
        <v>136</v>
      </c>
    </row>
    <row r="137" spans="3:26" s="95" customFormat="1" ht="11.25" hidden="1" customHeight="1">
      <c r="C137" s="151"/>
      <c r="D137" s="165"/>
      <c r="E137" s="153" t="s">
        <v>235</v>
      </c>
      <c r="F137" s="154"/>
      <c r="H137" s="3454"/>
      <c r="I137" s="3455"/>
      <c r="J137" s="3456"/>
      <c r="K137" s="3457"/>
      <c r="L137" s="3455"/>
      <c r="M137" s="3455"/>
      <c r="N137" s="3458"/>
      <c r="O137" s="164" t="s">
        <v>47</v>
      </c>
      <c r="P137" s="166"/>
      <c r="Q137" s="3459"/>
      <c r="R137" s="3460"/>
      <c r="S137" s="3461"/>
      <c r="Z137" s="1154">
        <v>137</v>
      </c>
    </row>
    <row r="138" spans="3:26" s="95" customFormat="1" ht="11.25" hidden="1" customHeight="1">
      <c r="C138" s="151"/>
      <c r="D138" s="165"/>
      <c r="E138" s="153" t="s">
        <v>192</v>
      </c>
      <c r="H138" s="866"/>
      <c r="I138" s="495" t="s">
        <v>193</v>
      </c>
      <c r="J138" s="3462"/>
      <c r="K138" s="3463"/>
      <c r="L138" s="167" t="s">
        <v>40</v>
      </c>
      <c r="M138" s="3464"/>
      <c r="N138" s="3410"/>
      <c r="O138" s="3410"/>
      <c r="P138" s="3410"/>
      <c r="Q138" s="3409"/>
      <c r="R138" s="3409"/>
      <c r="S138" s="3465"/>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240</v>
      </c>
      <c r="H140" s="3405"/>
      <c r="I140" s="3406"/>
      <c r="J140" s="3407"/>
      <c r="K140" s="167" t="s">
        <v>35</v>
      </c>
      <c r="L140" s="3405"/>
      <c r="M140" s="3466"/>
      <c r="N140" s="3467"/>
      <c r="O140" s="164" t="s">
        <v>234</v>
      </c>
      <c r="P140" s="166"/>
      <c r="Q140" s="3468"/>
      <c r="R140" s="3469"/>
      <c r="S140" s="3470"/>
      <c r="Z140" s="1154">
        <v>140</v>
      </c>
    </row>
    <row r="141" spans="3:26" s="95" customFormat="1" ht="11.25" hidden="1" customHeight="1">
      <c r="C141" s="151"/>
      <c r="D141" s="165"/>
      <c r="E141" s="153" t="s">
        <v>235</v>
      </c>
      <c r="F141" s="154"/>
      <c r="H141" s="3454"/>
      <c r="I141" s="3455"/>
      <c r="J141" s="3456"/>
      <c r="K141" s="3457"/>
      <c r="L141" s="3455"/>
      <c r="M141" s="3455"/>
      <c r="N141" s="3458"/>
      <c r="O141" s="164" t="s">
        <v>47</v>
      </c>
      <c r="P141" s="166"/>
      <c r="Q141" s="3459"/>
      <c r="R141" s="3460"/>
      <c r="S141" s="3461"/>
      <c r="Z141" s="1154">
        <v>141</v>
      </c>
    </row>
    <row r="142" spans="3:26" s="95" customFormat="1" ht="11.25" hidden="1" customHeight="1">
      <c r="C142" s="151"/>
      <c r="D142" s="165"/>
      <c r="E142" s="153" t="s">
        <v>192</v>
      </c>
      <c r="H142" s="866"/>
      <c r="I142" s="495" t="s">
        <v>193</v>
      </c>
      <c r="J142" s="3462"/>
      <c r="K142" s="3463"/>
      <c r="L142" s="167" t="s">
        <v>40</v>
      </c>
      <c r="M142" s="3464"/>
      <c r="N142" s="3410"/>
      <c r="O142" s="3410"/>
      <c r="P142" s="3410"/>
      <c r="Q142" s="3409"/>
      <c r="R142" s="3409"/>
      <c r="S142" s="3465"/>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208</v>
      </c>
      <c r="D144" s="95" t="s">
        <v>241</v>
      </c>
      <c r="H144" s="3405"/>
      <c r="I144" s="3406"/>
      <c r="J144" s="3407"/>
      <c r="K144" s="167" t="s">
        <v>35</v>
      </c>
      <c r="L144" s="3405"/>
      <c r="M144" s="3466"/>
      <c r="N144" s="3467"/>
      <c r="O144" s="164" t="s">
        <v>234</v>
      </c>
      <c r="P144" s="166"/>
      <c r="Q144" s="3468"/>
      <c r="R144" s="3469"/>
      <c r="S144" s="3470"/>
      <c r="Z144" s="1154">
        <v>144</v>
      </c>
    </row>
    <row r="145" spans="1:26" s="95" customFormat="1" ht="11.25" customHeight="1">
      <c r="C145" s="151"/>
      <c r="D145" s="165"/>
      <c r="E145" s="153" t="s">
        <v>235</v>
      </c>
      <c r="F145" s="154"/>
      <c r="H145" s="3454"/>
      <c r="I145" s="3455"/>
      <c r="J145" s="3456"/>
      <c r="K145" s="3457"/>
      <c r="L145" s="3455"/>
      <c r="M145" s="3455"/>
      <c r="N145" s="3458"/>
      <c r="O145" s="164" t="s">
        <v>47</v>
      </c>
      <c r="P145" s="166"/>
      <c r="Q145" s="3459"/>
      <c r="R145" s="3460"/>
      <c r="S145" s="3461"/>
      <c r="Z145" s="1154">
        <v>145</v>
      </c>
    </row>
    <row r="146" spans="1:26" s="95" customFormat="1" ht="11.25" customHeight="1">
      <c r="C146" s="151"/>
      <c r="D146" s="165"/>
      <c r="E146" s="153" t="s">
        <v>192</v>
      </c>
      <c r="H146" s="866"/>
      <c r="I146" s="495" t="s">
        <v>193</v>
      </c>
      <c r="J146" s="3462"/>
      <c r="K146" s="3463"/>
      <c r="L146" s="167" t="s">
        <v>40</v>
      </c>
      <c r="M146" s="3464"/>
      <c r="N146" s="3410"/>
      <c r="O146" s="3410"/>
      <c r="P146" s="3410"/>
      <c r="Q146" s="3409"/>
      <c r="R146" s="3409"/>
      <c r="S146" s="3465"/>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212</v>
      </c>
      <c r="D148" s="95" t="s">
        <v>242</v>
      </c>
      <c r="H148" s="3405"/>
      <c r="I148" s="3406"/>
      <c r="J148" s="3407"/>
      <c r="K148" s="167" t="s">
        <v>35</v>
      </c>
      <c r="L148" s="3405"/>
      <c r="M148" s="3466"/>
      <c r="N148" s="3467"/>
      <c r="O148" s="164" t="s">
        <v>234</v>
      </c>
      <c r="P148" s="166"/>
      <c r="Q148" s="3468"/>
      <c r="R148" s="3469"/>
      <c r="S148" s="3470"/>
      <c r="Z148" s="1154">
        <v>148</v>
      </c>
    </row>
    <row r="149" spans="1:26" s="95" customFormat="1" ht="11.25" customHeight="1">
      <c r="D149" s="165"/>
      <c r="E149" s="153" t="s">
        <v>235</v>
      </c>
      <c r="F149" s="154"/>
      <c r="H149" s="3454"/>
      <c r="I149" s="3455"/>
      <c r="J149" s="3456"/>
      <c r="K149" s="3457"/>
      <c r="L149" s="3455"/>
      <c r="M149" s="3455"/>
      <c r="N149" s="3458"/>
      <c r="O149" s="164" t="s">
        <v>47</v>
      </c>
      <c r="P149" s="166"/>
      <c r="Q149" s="3459"/>
      <c r="R149" s="3460"/>
      <c r="S149" s="3461"/>
      <c r="Z149" s="1154">
        <v>149</v>
      </c>
    </row>
    <row r="150" spans="1:26" s="95" customFormat="1" ht="11.25" customHeight="1">
      <c r="D150" s="165"/>
      <c r="E150" s="153" t="s">
        <v>192</v>
      </c>
      <c r="H150" s="866"/>
      <c r="I150" s="495" t="s">
        <v>193</v>
      </c>
      <c r="J150" s="3462"/>
      <c r="K150" s="3463"/>
      <c r="L150" s="167" t="s">
        <v>40</v>
      </c>
      <c r="M150" s="3464"/>
      <c r="N150" s="3410"/>
      <c r="O150" s="3410"/>
      <c r="P150" s="3410"/>
      <c r="Q150" s="3409"/>
      <c r="R150" s="3409"/>
      <c r="S150" s="3465"/>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197</v>
      </c>
      <c r="C152" s="151" t="s">
        <v>243</v>
      </c>
      <c r="H152" s="337"/>
      <c r="I152" s="337"/>
      <c r="J152" s="337"/>
      <c r="K152" s="337"/>
      <c r="L152" s="337"/>
      <c r="M152" s="337"/>
      <c r="N152" s="337"/>
      <c r="O152" s="337"/>
      <c r="P152" s="337"/>
      <c r="Q152" s="337"/>
      <c r="R152" s="337"/>
      <c r="S152" s="337"/>
      <c r="Z152" s="1154">
        <v>152</v>
      </c>
    </row>
    <row r="153" spans="1:26" ht="13.5" thickBot="1">
      <c r="A153" s="3471" t="s">
        <v>244</v>
      </c>
      <c r="B153" s="3471"/>
      <c r="C153" s="3471"/>
      <c r="D153" s="3471"/>
      <c r="E153" s="3471"/>
      <c r="H153" s="2646" t="s">
        <v>245</v>
      </c>
      <c r="I153" s="3448" t="s">
        <v>246</v>
      </c>
      <c r="J153" s="3449"/>
      <c r="K153" s="3449"/>
      <c r="L153" s="3449"/>
      <c r="M153" s="3449"/>
      <c r="N153" s="3449"/>
      <c r="O153" s="3449"/>
      <c r="P153" s="3449"/>
      <c r="Q153" s="3449"/>
      <c r="R153" s="3449"/>
      <c r="S153" s="3450"/>
      <c r="Z153" s="1154">
        <v>153</v>
      </c>
    </row>
    <row r="154" spans="1:26" s="95" customFormat="1" ht="15" customHeight="1" thickBot="1">
      <c r="B154" s="334" t="s">
        <v>200</v>
      </c>
      <c r="C154" s="161" t="s">
        <v>247</v>
      </c>
      <c r="E154" s="161"/>
      <c r="H154" s="841" t="s">
        <v>248</v>
      </c>
      <c r="I154" s="3548"/>
      <c r="J154" s="3476"/>
      <c r="K154" s="3476"/>
      <c r="L154" s="3476"/>
      <c r="M154" s="3476"/>
      <c r="N154" s="3476"/>
      <c r="O154" s="3476"/>
      <c r="P154" s="3476"/>
      <c r="Q154" s="3476"/>
      <c r="R154" s="3476"/>
      <c r="S154" s="3478"/>
      <c r="U154" s="3379" t="s">
        <v>249</v>
      </c>
      <c r="V154" s="3379"/>
      <c r="Z154" s="1154">
        <v>154</v>
      </c>
    </row>
    <row r="155" spans="1:26" s="95" customFormat="1" ht="15" customHeight="1" thickBot="1">
      <c r="B155" s="334" t="s">
        <v>208</v>
      </c>
      <c r="C155" s="161" t="s">
        <v>250</v>
      </c>
      <c r="E155" s="161"/>
      <c r="H155" s="841" t="s">
        <v>248</v>
      </c>
      <c r="I155" s="3547"/>
      <c r="J155" s="3483"/>
      <c r="K155" s="3483"/>
      <c r="L155" s="3483"/>
      <c r="M155" s="3483"/>
      <c r="N155" s="3483"/>
      <c r="O155" s="3483"/>
      <c r="P155" s="3483"/>
      <c r="Q155" s="3483"/>
      <c r="R155" s="3483"/>
      <c r="S155" s="3485"/>
      <c r="U155" s="3379"/>
      <c r="V155" s="3379"/>
      <c r="Z155" s="1154">
        <v>155</v>
      </c>
    </row>
    <row r="156" spans="1:26" s="95" customFormat="1" ht="15" customHeight="1" thickBot="1">
      <c r="B156" s="334" t="s">
        <v>212</v>
      </c>
      <c r="C156" s="161" t="s">
        <v>251</v>
      </c>
      <c r="E156" s="161"/>
      <c r="H156" s="841" t="s">
        <v>248</v>
      </c>
      <c r="I156" s="3547"/>
      <c r="J156" s="3483"/>
      <c r="K156" s="3483"/>
      <c r="L156" s="3483"/>
      <c r="M156" s="3483"/>
      <c r="N156" s="3483"/>
      <c r="O156" s="3483"/>
      <c r="P156" s="3483"/>
      <c r="Q156" s="3483"/>
      <c r="R156" s="3483"/>
      <c r="S156" s="3485"/>
      <c r="U156" s="3379"/>
      <c r="V156" s="3379"/>
      <c r="Z156" s="1154">
        <v>156</v>
      </c>
    </row>
    <row r="157" spans="1:26" s="95" customFormat="1" ht="15" customHeight="1" thickBot="1">
      <c r="B157" s="334" t="s">
        <v>252</v>
      </c>
      <c r="C157" s="161" t="s">
        <v>253</v>
      </c>
      <c r="E157" s="161"/>
      <c r="H157" s="841" t="s">
        <v>248</v>
      </c>
      <c r="I157" s="3547"/>
      <c r="J157" s="3483"/>
      <c r="K157" s="3483"/>
      <c r="L157" s="3483"/>
      <c r="M157" s="3483"/>
      <c r="N157" s="3483"/>
      <c r="O157" s="3483"/>
      <c r="P157" s="3483"/>
      <c r="Q157" s="3483"/>
      <c r="R157" s="3483"/>
      <c r="S157" s="3485"/>
      <c r="U157" s="3379"/>
      <c r="V157" s="3379"/>
      <c r="Z157" s="1154">
        <v>157</v>
      </c>
    </row>
    <row r="158" spans="1:26" s="95" customFormat="1" ht="15" customHeight="1" thickBot="1">
      <c r="B158" s="334" t="s">
        <v>254</v>
      </c>
      <c r="C158" s="161" t="s">
        <v>255</v>
      </c>
      <c r="E158" s="161"/>
      <c r="H158" s="841" t="s">
        <v>248</v>
      </c>
      <c r="I158" s="3547"/>
      <c r="J158" s="3483"/>
      <c r="K158" s="3483"/>
      <c r="L158" s="3483"/>
      <c r="M158" s="3483"/>
      <c r="N158" s="3483"/>
      <c r="O158" s="3483"/>
      <c r="P158" s="3483"/>
      <c r="Q158" s="3483"/>
      <c r="R158" s="3483"/>
      <c r="S158" s="3485"/>
      <c r="U158" s="3379"/>
      <c r="V158" s="3379"/>
      <c r="Z158" s="1154">
        <v>158</v>
      </c>
    </row>
    <row r="159" spans="1:26" s="95" customFormat="1" ht="15" customHeight="1" thickBot="1">
      <c r="B159" s="334" t="s">
        <v>256</v>
      </c>
      <c r="C159" s="161" t="s">
        <v>257</v>
      </c>
      <c r="E159" s="161"/>
      <c r="H159" s="841" t="s">
        <v>248</v>
      </c>
      <c r="I159" s="3547"/>
      <c r="J159" s="3483"/>
      <c r="K159" s="3483"/>
      <c r="L159" s="3483"/>
      <c r="M159" s="3483"/>
      <c r="N159" s="3483"/>
      <c r="O159" s="3483"/>
      <c r="P159" s="3483"/>
      <c r="Q159" s="3483"/>
      <c r="R159" s="3483"/>
      <c r="S159" s="3485"/>
      <c r="U159" s="3379"/>
      <c r="V159" s="3379"/>
      <c r="Z159" s="1154">
        <v>159</v>
      </c>
    </row>
    <row r="160" spans="1:26" s="95" customFormat="1" ht="15" customHeight="1" thickBot="1">
      <c r="B160" s="334" t="s">
        <v>258</v>
      </c>
      <c r="C160" s="161" t="s">
        <v>259</v>
      </c>
      <c r="E160" s="161"/>
      <c r="H160" s="841" t="s">
        <v>248</v>
      </c>
      <c r="I160" s="3547"/>
      <c r="J160" s="3483"/>
      <c r="K160" s="3483"/>
      <c r="L160" s="3483"/>
      <c r="M160" s="3483"/>
      <c r="N160" s="3483"/>
      <c r="O160" s="3483"/>
      <c r="P160" s="3483"/>
      <c r="Q160" s="3483"/>
      <c r="R160" s="3483"/>
      <c r="S160" s="3485"/>
      <c r="Z160" s="1154">
        <v>160</v>
      </c>
    </row>
    <row r="161" spans="1:26" s="95" customFormat="1" ht="15" customHeight="1" thickBot="1">
      <c r="B161" s="334" t="s">
        <v>260</v>
      </c>
      <c r="C161" s="161" t="s">
        <v>261</v>
      </c>
      <c r="E161" s="161"/>
      <c r="H161" s="841" t="s">
        <v>248</v>
      </c>
      <c r="I161" s="3547"/>
      <c r="J161" s="3483"/>
      <c r="K161" s="3483"/>
      <c r="L161" s="3483"/>
      <c r="M161" s="3483"/>
      <c r="N161" s="3483"/>
      <c r="O161" s="3483"/>
      <c r="P161" s="3483"/>
      <c r="Q161" s="3483"/>
      <c r="R161" s="3483"/>
      <c r="S161" s="3485"/>
      <c r="Z161" s="1154">
        <v>161</v>
      </c>
    </row>
    <row r="162" spans="1:26" s="95" customFormat="1" ht="15" customHeight="1" thickBot="1">
      <c r="B162" s="334" t="s">
        <v>262</v>
      </c>
      <c r="C162" s="3451" t="s">
        <v>263</v>
      </c>
      <c r="D162" s="3452"/>
      <c r="E162" s="3452"/>
      <c r="F162" s="3452"/>
      <c r="G162" s="3453"/>
      <c r="H162" s="841" t="s">
        <v>248</v>
      </c>
      <c r="I162" s="3546"/>
      <c r="J162" s="3522"/>
      <c r="K162" s="3522"/>
      <c r="L162" s="3522"/>
      <c r="M162" s="3522"/>
      <c r="N162" s="3522"/>
      <c r="O162" s="3522"/>
      <c r="P162" s="3522"/>
      <c r="Q162" s="3522"/>
      <c r="R162" s="3522"/>
      <c r="S162" s="3524"/>
      <c r="Z162" s="1154">
        <v>162</v>
      </c>
    </row>
    <row r="163" spans="1:26" s="95" customFormat="1" ht="13.35" customHeight="1">
      <c r="A163" s="151" t="s">
        <v>43</v>
      </c>
      <c r="B163" s="151" t="s">
        <v>264</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35" customHeight="1">
      <c r="B165" s="151" t="s">
        <v>218</v>
      </c>
      <c r="C165" s="151" t="s">
        <v>265</v>
      </c>
      <c r="Z165" s="1154">
        <v>165</v>
      </c>
    </row>
    <row r="166" spans="1:26" s="95" customFormat="1" ht="12.75" customHeight="1">
      <c r="A166" s="3486" t="s">
        <v>266</v>
      </c>
      <c r="B166" s="3487"/>
      <c r="C166" s="3487"/>
      <c r="D166" s="3487"/>
      <c r="E166" s="3492" t="s">
        <v>267</v>
      </c>
      <c r="F166" s="3493"/>
      <c r="G166" s="3493"/>
      <c r="H166" s="3493"/>
      <c r="I166" s="3494"/>
      <c r="J166" s="3498" t="s">
        <v>268</v>
      </c>
      <c r="K166" s="3501" t="s">
        <v>269</v>
      </c>
      <c r="L166" s="3501" t="s">
        <v>270</v>
      </c>
      <c r="M166" s="3504" t="s">
        <v>271</v>
      </c>
      <c r="N166" s="3505"/>
      <c r="O166" s="3505"/>
      <c r="P166" s="3505"/>
      <c r="Q166" s="3505"/>
      <c r="R166" s="3505"/>
      <c r="S166" s="3506"/>
      <c r="Z166" s="1154">
        <v>166</v>
      </c>
    </row>
    <row r="167" spans="1:26" s="95" customFormat="1" ht="12.75" customHeight="1">
      <c r="A167" s="3488"/>
      <c r="B167" s="3489"/>
      <c r="C167" s="3489"/>
      <c r="D167" s="3489"/>
      <c r="E167" s="3495"/>
      <c r="F167" s="3496"/>
      <c r="G167" s="3496"/>
      <c r="H167" s="3496"/>
      <c r="I167" s="3497"/>
      <c r="J167" s="3499"/>
      <c r="K167" s="3502"/>
      <c r="L167" s="3502"/>
      <c r="M167" s="3507"/>
      <c r="N167" s="3508"/>
      <c r="O167" s="3508"/>
      <c r="P167" s="3508"/>
      <c r="Q167" s="3508"/>
      <c r="R167" s="3508"/>
      <c r="S167" s="3509"/>
      <c r="Z167" s="1154">
        <v>167</v>
      </c>
    </row>
    <row r="168" spans="1:26" s="95" customFormat="1" ht="12.75" customHeight="1">
      <c r="A168" s="3488"/>
      <c r="B168" s="3489"/>
      <c r="C168" s="3489"/>
      <c r="D168" s="3489"/>
      <c r="E168" s="3495"/>
      <c r="F168" s="3496"/>
      <c r="G168" s="3496"/>
      <c r="H168" s="3496"/>
      <c r="I168" s="3497"/>
      <c r="J168" s="3499"/>
      <c r="K168" s="3502"/>
      <c r="L168" s="3502"/>
      <c r="M168" s="3507"/>
      <c r="N168" s="3508"/>
      <c r="O168" s="3508"/>
      <c r="P168" s="3508"/>
      <c r="Q168" s="3508"/>
      <c r="R168" s="3508"/>
      <c r="S168" s="3509"/>
      <c r="Z168" s="1154">
        <v>168</v>
      </c>
    </row>
    <row r="169" spans="1:26" s="95" customFormat="1" ht="12.75" customHeight="1">
      <c r="A169" s="3488"/>
      <c r="B169" s="3489"/>
      <c r="C169" s="3489"/>
      <c r="D169" s="3489"/>
      <c r="E169" s="3510" t="s">
        <v>272</v>
      </c>
      <c r="F169" s="3511"/>
      <c r="G169" s="3511"/>
      <c r="H169" s="3512"/>
      <c r="I169" s="338"/>
      <c r="J169" s="3499"/>
      <c r="K169" s="3502"/>
      <c r="L169" s="3502"/>
      <c r="M169" s="3507"/>
      <c r="N169" s="3508"/>
      <c r="O169" s="3508"/>
      <c r="P169" s="3508"/>
      <c r="Q169" s="3508"/>
      <c r="R169" s="3508"/>
      <c r="S169" s="3509"/>
      <c r="Z169" s="1154">
        <v>169</v>
      </c>
    </row>
    <row r="170" spans="1:26" s="95" customFormat="1" ht="13.5" customHeight="1">
      <c r="A170" s="3490"/>
      <c r="B170" s="3491"/>
      <c r="C170" s="3491"/>
      <c r="D170" s="3491"/>
      <c r="E170" s="3513"/>
      <c r="F170" s="3514"/>
      <c r="G170" s="3514"/>
      <c r="H170" s="3515"/>
      <c r="I170" s="842" t="s">
        <v>245</v>
      </c>
      <c r="J170" s="3500"/>
      <c r="K170" s="3503"/>
      <c r="L170" s="3502"/>
      <c r="M170" s="843" t="s">
        <v>245</v>
      </c>
      <c r="N170" s="3516" t="s">
        <v>273</v>
      </c>
      <c r="O170" s="3516"/>
      <c r="P170" s="3516"/>
      <c r="Q170" s="3516"/>
      <c r="R170" s="3516"/>
      <c r="S170" s="3517"/>
      <c r="Z170" s="1154">
        <v>170</v>
      </c>
    </row>
    <row r="171" spans="1:26" s="95" customFormat="1" ht="23.25" customHeight="1">
      <c r="A171" s="3472" t="s">
        <v>274</v>
      </c>
      <c r="B171" s="3473"/>
      <c r="C171" s="3473"/>
      <c r="D171" s="3474"/>
      <c r="E171" s="3475"/>
      <c r="F171" s="3476"/>
      <c r="G171" s="3476"/>
      <c r="H171" s="3476"/>
      <c r="I171" s="2647" t="s">
        <v>248</v>
      </c>
      <c r="J171" s="2648" t="s">
        <v>248</v>
      </c>
      <c r="K171" s="2648"/>
      <c r="L171" s="2649"/>
      <c r="M171" s="2650" t="s">
        <v>248</v>
      </c>
      <c r="N171" s="3477"/>
      <c r="O171" s="3476"/>
      <c r="P171" s="3476"/>
      <c r="Q171" s="3476"/>
      <c r="R171" s="3476"/>
      <c r="S171" s="3478"/>
      <c r="Z171" s="1154">
        <v>171</v>
      </c>
    </row>
    <row r="172" spans="1:26" s="95" customFormat="1" ht="23.25" customHeight="1">
      <c r="A172" s="3479" t="s">
        <v>275</v>
      </c>
      <c r="B172" s="3480"/>
      <c r="C172" s="3480"/>
      <c r="D172" s="3481"/>
      <c r="E172" s="3482"/>
      <c r="F172" s="3483"/>
      <c r="G172" s="3483"/>
      <c r="H172" s="3483"/>
      <c r="I172" s="475" t="s">
        <v>248</v>
      </c>
      <c r="J172" s="335" t="s">
        <v>248</v>
      </c>
      <c r="K172" s="335"/>
      <c r="L172" s="477"/>
      <c r="M172" s="339" t="s">
        <v>248</v>
      </c>
      <c r="N172" s="3484"/>
      <c r="O172" s="3483"/>
      <c r="P172" s="3483"/>
      <c r="Q172" s="3483"/>
      <c r="R172" s="3483"/>
      <c r="S172" s="3485"/>
      <c r="U172" s="3379" t="s">
        <v>249</v>
      </c>
      <c r="V172" s="3379"/>
      <c r="Z172" s="1154">
        <v>172</v>
      </c>
    </row>
    <row r="173" spans="1:26" s="95" customFormat="1" ht="23.25" customHeight="1">
      <c r="A173" s="3479" t="s">
        <v>276</v>
      </c>
      <c r="B173" s="3480"/>
      <c r="C173" s="3480"/>
      <c r="D173" s="3481"/>
      <c r="E173" s="3482"/>
      <c r="F173" s="3483"/>
      <c r="G173" s="3483"/>
      <c r="H173" s="3483"/>
      <c r="I173" s="475" t="s">
        <v>248</v>
      </c>
      <c r="J173" s="335" t="s">
        <v>248</v>
      </c>
      <c r="K173" s="335"/>
      <c r="L173" s="477"/>
      <c r="M173" s="339" t="s">
        <v>248</v>
      </c>
      <c r="N173" s="3484"/>
      <c r="O173" s="3483"/>
      <c r="P173" s="3483"/>
      <c r="Q173" s="3483"/>
      <c r="R173" s="3483"/>
      <c r="S173" s="3485"/>
      <c r="U173" s="3379"/>
      <c r="V173" s="3379"/>
      <c r="Z173" s="1154">
        <v>173</v>
      </c>
    </row>
    <row r="174" spans="1:26" s="95" customFormat="1" ht="23.25" customHeight="1">
      <c r="A174" s="3479" t="s">
        <v>277</v>
      </c>
      <c r="B174" s="3480"/>
      <c r="C174" s="3480"/>
      <c r="D174" s="3481"/>
      <c r="E174" s="3482"/>
      <c r="F174" s="3483"/>
      <c r="G174" s="3483"/>
      <c r="H174" s="3483"/>
      <c r="I174" s="475" t="s">
        <v>248</v>
      </c>
      <c r="J174" s="335" t="s">
        <v>248</v>
      </c>
      <c r="K174" s="335"/>
      <c r="L174" s="477"/>
      <c r="M174" s="339" t="s">
        <v>248</v>
      </c>
      <c r="N174" s="3484"/>
      <c r="O174" s="3483"/>
      <c r="P174" s="3483"/>
      <c r="Q174" s="3483"/>
      <c r="R174" s="3483"/>
      <c r="S174" s="3485"/>
      <c r="U174" s="3379"/>
      <c r="V174" s="3379"/>
      <c r="Z174" s="1154">
        <v>174</v>
      </c>
    </row>
    <row r="175" spans="1:26" s="95" customFormat="1" ht="23.25" customHeight="1">
      <c r="A175" s="3479" t="s">
        <v>278</v>
      </c>
      <c r="B175" s="3480"/>
      <c r="C175" s="3480"/>
      <c r="D175" s="3481"/>
      <c r="E175" s="3482"/>
      <c r="F175" s="3483"/>
      <c r="G175" s="3483"/>
      <c r="H175" s="3483"/>
      <c r="I175" s="475" t="s">
        <v>248</v>
      </c>
      <c r="J175" s="335" t="s">
        <v>248</v>
      </c>
      <c r="K175" s="335"/>
      <c r="L175" s="477"/>
      <c r="M175" s="339" t="s">
        <v>248</v>
      </c>
      <c r="N175" s="3484"/>
      <c r="O175" s="3483"/>
      <c r="P175" s="3483"/>
      <c r="Q175" s="3483"/>
      <c r="R175" s="3483"/>
      <c r="S175" s="3485"/>
      <c r="U175" s="3379"/>
      <c r="V175" s="3379"/>
      <c r="Z175" s="1154">
        <v>175</v>
      </c>
    </row>
    <row r="176" spans="1:26" s="95" customFormat="1" ht="23.25" customHeight="1">
      <c r="A176" s="3479" t="s">
        <v>279</v>
      </c>
      <c r="B176" s="3480"/>
      <c r="C176" s="3480"/>
      <c r="D176" s="3481"/>
      <c r="E176" s="3482"/>
      <c r="F176" s="3483"/>
      <c r="G176" s="3483"/>
      <c r="H176" s="3483"/>
      <c r="I176" s="475" t="s">
        <v>248</v>
      </c>
      <c r="J176" s="335" t="s">
        <v>248</v>
      </c>
      <c r="K176" s="335"/>
      <c r="L176" s="477"/>
      <c r="M176" s="339" t="s">
        <v>248</v>
      </c>
      <c r="N176" s="3484"/>
      <c r="O176" s="3483"/>
      <c r="P176" s="3483"/>
      <c r="Q176" s="3483"/>
      <c r="R176" s="3483"/>
      <c r="S176" s="3485"/>
      <c r="U176" s="3379"/>
      <c r="V176" s="3379"/>
      <c r="Z176" s="1154">
        <v>176</v>
      </c>
    </row>
    <row r="177" spans="1:26" s="95" customFormat="1" ht="23.25" customHeight="1">
      <c r="A177" s="3479" t="s">
        <v>280</v>
      </c>
      <c r="B177" s="3480"/>
      <c r="C177" s="3480"/>
      <c r="D177" s="3481"/>
      <c r="E177" s="3482"/>
      <c r="F177" s="3483"/>
      <c r="G177" s="3483"/>
      <c r="H177" s="3483"/>
      <c r="I177" s="475" t="s">
        <v>248</v>
      </c>
      <c r="J177" s="335" t="s">
        <v>248</v>
      </c>
      <c r="K177" s="335"/>
      <c r="L177" s="477"/>
      <c r="M177" s="339" t="s">
        <v>248</v>
      </c>
      <c r="N177" s="3484"/>
      <c r="O177" s="3483"/>
      <c r="P177" s="3483"/>
      <c r="Q177" s="3483"/>
      <c r="R177" s="3483"/>
      <c r="S177" s="3485"/>
      <c r="U177" s="3379"/>
      <c r="V177" s="3379"/>
      <c r="Z177" s="1154">
        <v>177</v>
      </c>
    </row>
    <row r="178" spans="1:26" s="95" customFormat="1" ht="23.25" customHeight="1">
      <c r="A178" s="3479" t="s">
        <v>281</v>
      </c>
      <c r="B178" s="3480"/>
      <c r="C178" s="3480"/>
      <c r="D178" s="3481"/>
      <c r="E178" s="3482"/>
      <c r="F178" s="3483"/>
      <c r="G178" s="3483"/>
      <c r="H178" s="3483"/>
      <c r="I178" s="475" t="s">
        <v>248</v>
      </c>
      <c r="J178" s="335" t="s">
        <v>248</v>
      </c>
      <c r="K178" s="335"/>
      <c r="L178" s="477"/>
      <c r="M178" s="339" t="s">
        <v>248</v>
      </c>
      <c r="N178" s="3484"/>
      <c r="O178" s="3483"/>
      <c r="P178" s="3483"/>
      <c r="Q178" s="3483"/>
      <c r="R178" s="3483"/>
      <c r="S178" s="3485"/>
      <c r="Z178" s="1154">
        <v>178</v>
      </c>
    </row>
    <row r="179" spans="1:26" s="95" customFormat="1" ht="23.25" customHeight="1">
      <c r="A179" s="3479" t="s">
        <v>282</v>
      </c>
      <c r="B179" s="3480"/>
      <c r="C179" s="3480"/>
      <c r="D179" s="3481"/>
      <c r="E179" s="3482"/>
      <c r="F179" s="3483"/>
      <c r="G179" s="3483"/>
      <c r="H179" s="3483"/>
      <c r="I179" s="475" t="s">
        <v>248</v>
      </c>
      <c r="J179" s="335" t="s">
        <v>248</v>
      </c>
      <c r="K179" s="335"/>
      <c r="L179" s="477"/>
      <c r="M179" s="339" t="s">
        <v>248</v>
      </c>
      <c r="N179" s="3484"/>
      <c r="O179" s="3483"/>
      <c r="P179" s="3483"/>
      <c r="Q179" s="3483"/>
      <c r="R179" s="3483"/>
      <c r="S179" s="3485"/>
      <c r="Z179" s="1154">
        <v>179</v>
      </c>
    </row>
    <row r="180" spans="1:26" s="95" customFormat="1" ht="23.25" customHeight="1">
      <c r="A180" s="3479" t="s">
        <v>283</v>
      </c>
      <c r="B180" s="3480"/>
      <c r="C180" s="3480"/>
      <c r="D180" s="3481"/>
      <c r="E180" s="3482"/>
      <c r="F180" s="3483"/>
      <c r="G180" s="3483"/>
      <c r="H180" s="3483"/>
      <c r="I180" s="475" t="s">
        <v>248</v>
      </c>
      <c r="J180" s="335" t="s">
        <v>248</v>
      </c>
      <c r="K180" s="335"/>
      <c r="L180" s="477"/>
      <c r="M180" s="339" t="s">
        <v>248</v>
      </c>
      <c r="N180" s="3484"/>
      <c r="O180" s="3483"/>
      <c r="P180" s="3483"/>
      <c r="Q180" s="3483"/>
      <c r="R180" s="3483"/>
      <c r="S180" s="3485"/>
      <c r="Z180" s="1154">
        <v>180</v>
      </c>
    </row>
    <row r="181" spans="1:26" s="95" customFormat="1" ht="23.25" customHeight="1">
      <c r="A181" s="3479" t="s">
        <v>284</v>
      </c>
      <c r="B181" s="3480"/>
      <c r="C181" s="3480"/>
      <c r="D181" s="3481"/>
      <c r="E181" s="3482"/>
      <c r="F181" s="3483"/>
      <c r="G181" s="3483"/>
      <c r="H181" s="3483"/>
      <c r="I181" s="475" t="s">
        <v>248</v>
      </c>
      <c r="J181" s="335" t="s">
        <v>248</v>
      </c>
      <c r="K181" s="335"/>
      <c r="L181" s="477"/>
      <c r="M181" s="339" t="s">
        <v>248</v>
      </c>
      <c r="N181" s="3484"/>
      <c r="O181" s="3483"/>
      <c r="P181" s="3483"/>
      <c r="Q181" s="3483"/>
      <c r="R181" s="3483"/>
      <c r="S181" s="3485"/>
      <c r="Z181" s="1154">
        <v>181</v>
      </c>
    </row>
    <row r="182" spans="1:26" s="95" customFormat="1" ht="23.25" customHeight="1">
      <c r="A182" s="3479" t="s">
        <v>285</v>
      </c>
      <c r="B182" s="3480"/>
      <c r="C182" s="3480"/>
      <c r="D182" s="3481"/>
      <c r="E182" s="3482"/>
      <c r="F182" s="3483"/>
      <c r="G182" s="3483"/>
      <c r="H182" s="3483"/>
      <c r="I182" s="475" t="s">
        <v>248</v>
      </c>
      <c r="J182" s="335" t="s">
        <v>248</v>
      </c>
      <c r="K182" s="335"/>
      <c r="L182" s="477"/>
      <c r="M182" s="339" t="s">
        <v>248</v>
      </c>
      <c r="N182" s="3484"/>
      <c r="O182" s="3483"/>
      <c r="P182" s="3483"/>
      <c r="Q182" s="3483"/>
      <c r="R182" s="3483"/>
      <c r="S182" s="3485"/>
      <c r="Z182" s="1154">
        <v>182</v>
      </c>
    </row>
    <row r="183" spans="1:26" s="95" customFormat="1" ht="23.25" customHeight="1">
      <c r="A183" s="3518" t="s">
        <v>286</v>
      </c>
      <c r="B183" s="3519"/>
      <c r="C183" s="3519"/>
      <c r="D183" s="3520"/>
      <c r="E183" s="3521"/>
      <c r="F183" s="3522"/>
      <c r="G183" s="3522"/>
      <c r="H183" s="3522"/>
      <c r="I183" s="476" t="s">
        <v>248</v>
      </c>
      <c r="J183" s="336" t="s">
        <v>248</v>
      </c>
      <c r="K183" s="336"/>
      <c r="L183" s="478"/>
      <c r="M183" s="340" t="s">
        <v>248</v>
      </c>
      <c r="N183" s="3523"/>
      <c r="O183" s="3522"/>
      <c r="P183" s="3522"/>
      <c r="Q183" s="3522"/>
      <c r="R183" s="3522"/>
      <c r="S183" s="3524"/>
      <c r="Z183" s="1154">
        <v>183</v>
      </c>
    </row>
    <row r="184" spans="1:26" s="95" customFormat="1" ht="12" customHeight="1">
      <c r="G184" s="151"/>
      <c r="H184" s="151"/>
      <c r="I184" s="151"/>
      <c r="J184" s="2517"/>
      <c r="K184" s="160" t="s">
        <v>287</v>
      </c>
      <c r="L184" s="304">
        <f>SUM(L171:L183)</f>
        <v>0</v>
      </c>
      <c r="M184" s="2517"/>
      <c r="P184" s="96"/>
      <c r="Z184" s="1154">
        <v>184</v>
      </c>
    </row>
    <row r="185" spans="1:26" ht="11.25" customHeight="1">
      <c r="A185" s="159" t="s">
        <v>66</v>
      </c>
      <c r="B185" s="159"/>
      <c r="C185" s="159" t="s">
        <v>67</v>
      </c>
      <c r="N185" s="159" t="s">
        <v>66</v>
      </c>
      <c r="O185" s="159" t="s">
        <v>69</v>
      </c>
      <c r="Z185" s="1154">
        <v>185</v>
      </c>
    </row>
    <row r="186" spans="1:26" ht="105.75" customHeight="1">
      <c r="A186" s="3437"/>
      <c r="B186" s="3438"/>
      <c r="C186" s="3438"/>
      <c r="D186" s="3438"/>
      <c r="E186" s="3438"/>
      <c r="F186" s="3438"/>
      <c r="G186" s="3438"/>
      <c r="H186" s="3438"/>
      <c r="I186" s="3438"/>
      <c r="J186" s="3438"/>
      <c r="K186" s="3438"/>
      <c r="L186" s="3438"/>
      <c r="M186" s="3439"/>
      <c r="N186" s="3440"/>
      <c r="O186" s="3441"/>
      <c r="P186" s="3441"/>
      <c r="Q186" s="3441"/>
      <c r="R186" s="3441"/>
      <c r="S186" s="3442"/>
      <c r="T186" s="3379" t="s">
        <v>288</v>
      </c>
      <c r="U186" s="3379"/>
      <c r="V186" s="3379"/>
      <c r="W186" s="3379"/>
      <c r="X186" s="3379"/>
      <c r="Z186" s="1154">
        <v>186</v>
      </c>
    </row>
    <row r="187" spans="1:26" s="95" customFormat="1" ht="12" customHeight="1">
      <c r="A187" s="134"/>
      <c r="B187" s="96"/>
      <c r="C187" s="96"/>
      <c r="D187" s="96"/>
      <c r="E187" s="96"/>
      <c r="F187" s="96"/>
      <c r="G187" s="96"/>
      <c r="H187" s="96"/>
      <c r="I187" s="96"/>
      <c r="J187" s="96"/>
      <c r="K187" s="96"/>
      <c r="L187" s="96"/>
      <c r="M187" s="96"/>
      <c r="N187" s="96"/>
      <c r="O187" s="96"/>
      <c r="T187" s="3379"/>
      <c r="U187" s="3379"/>
      <c r="V187" s="3379"/>
      <c r="W187" s="3379"/>
      <c r="X187" s="3379"/>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192</v>
      </c>
      <c r="Z191" s="1154"/>
    </row>
    <row r="192" spans="1:26" s="95" customFormat="1" ht="12" customHeight="1">
      <c r="A192" s="165"/>
      <c r="B192" s="96"/>
      <c r="C192" s="96"/>
      <c r="D192" s="96"/>
      <c r="E192" s="96"/>
      <c r="F192" s="96"/>
      <c r="G192" s="96"/>
      <c r="H192" s="96"/>
      <c r="I192" s="96"/>
      <c r="J192" s="96"/>
      <c r="K192" s="96"/>
      <c r="L192" s="96"/>
      <c r="M192" s="96"/>
      <c r="N192" s="96"/>
      <c r="O192" s="96"/>
      <c r="P192" s="178" t="s">
        <v>289</v>
      </c>
      <c r="Z192" s="1154"/>
    </row>
    <row r="193" spans="1:26" s="95" customFormat="1" ht="12" customHeight="1">
      <c r="A193" s="165"/>
      <c r="B193" s="96"/>
      <c r="C193" s="96"/>
      <c r="D193" s="96"/>
      <c r="E193" s="96"/>
      <c r="F193" s="96"/>
      <c r="G193" s="96"/>
      <c r="H193" s="96"/>
      <c r="I193" s="96"/>
      <c r="J193" s="96"/>
      <c r="K193" s="96"/>
      <c r="L193" s="96"/>
      <c r="M193" s="96"/>
      <c r="N193" s="96"/>
      <c r="O193" s="96"/>
      <c r="P193" s="178" t="s">
        <v>290</v>
      </c>
      <c r="Z193" s="1154"/>
    </row>
    <row r="194" spans="1:26" s="95" customFormat="1" ht="12" customHeight="1">
      <c r="A194" s="165"/>
      <c r="B194" s="96"/>
      <c r="C194" s="96"/>
      <c r="D194" s="96"/>
      <c r="E194" s="96"/>
      <c r="F194" s="96"/>
      <c r="G194" s="96"/>
      <c r="H194" s="96"/>
      <c r="I194" s="96"/>
      <c r="J194" s="96"/>
      <c r="K194" s="96"/>
      <c r="L194" s="96"/>
      <c r="M194" s="96"/>
      <c r="N194" s="96"/>
      <c r="O194" s="96"/>
      <c r="P194" s="178" t="s">
        <v>291</v>
      </c>
      <c r="Z194" s="1154"/>
    </row>
    <row r="195" spans="1:26" s="95" customFormat="1" ht="12" customHeight="1">
      <c r="A195" s="267"/>
      <c r="B195" s="96"/>
      <c r="C195" s="96"/>
      <c r="D195" s="96"/>
      <c r="E195" s="96"/>
      <c r="F195" s="96"/>
      <c r="G195" s="96"/>
      <c r="H195" s="96"/>
      <c r="I195" s="96"/>
      <c r="J195" s="96"/>
      <c r="K195" s="96"/>
      <c r="L195" s="96"/>
      <c r="M195" s="96"/>
      <c r="N195" s="96"/>
      <c r="O195" s="96"/>
      <c r="P195" s="178" t="s">
        <v>292</v>
      </c>
      <c r="Z195" s="1154"/>
    </row>
    <row r="196" spans="1:26" s="95" customFormat="1" ht="12" customHeight="1">
      <c r="B196" s="96"/>
      <c r="C196" s="96"/>
      <c r="D196" s="96"/>
      <c r="E196" s="96"/>
      <c r="F196" s="96"/>
      <c r="G196" s="96"/>
      <c r="H196" s="96"/>
      <c r="I196" s="96"/>
      <c r="J196" s="96"/>
      <c r="K196" s="96"/>
      <c r="L196" s="96"/>
      <c r="M196" s="96"/>
      <c r="N196" s="96"/>
      <c r="O196" s="96"/>
      <c r="P196" s="178" t="s">
        <v>293</v>
      </c>
      <c r="Z196" s="1154"/>
    </row>
    <row r="197" spans="1:26" s="95" customFormat="1" ht="12" customHeight="1">
      <c r="B197" s="96"/>
      <c r="C197" s="96"/>
      <c r="D197" s="96"/>
      <c r="E197" s="96"/>
      <c r="F197" s="96"/>
      <c r="G197" s="96"/>
      <c r="H197" s="96"/>
      <c r="I197" s="96"/>
      <c r="J197" s="96"/>
      <c r="K197" s="96"/>
      <c r="L197" s="96"/>
      <c r="M197" s="96"/>
      <c r="N197" s="96"/>
      <c r="O197" s="96"/>
      <c r="P197" s="178" t="s">
        <v>294</v>
      </c>
      <c r="Z197" s="1154"/>
    </row>
    <row r="198" spans="1:26" s="95" customFormat="1" ht="12" customHeight="1">
      <c r="B198" s="96"/>
      <c r="C198" s="96"/>
      <c r="D198" s="96"/>
      <c r="E198" s="96"/>
      <c r="F198" s="96"/>
      <c r="G198" s="96"/>
      <c r="H198" s="96"/>
      <c r="I198" s="96"/>
      <c r="J198" s="96"/>
      <c r="K198" s="96"/>
      <c r="L198" s="96"/>
      <c r="M198" s="96"/>
      <c r="N198" s="96"/>
      <c r="O198" s="96"/>
      <c r="P198" s="178" t="s">
        <v>295</v>
      </c>
      <c r="Z198" s="1154"/>
    </row>
    <row r="199" spans="1:26" s="95" customFormat="1" ht="12" customHeight="1">
      <c r="B199" s="96"/>
      <c r="C199" s="96"/>
      <c r="D199" s="96"/>
      <c r="E199" s="96"/>
      <c r="F199" s="96"/>
      <c r="G199" s="96"/>
      <c r="H199" s="96"/>
      <c r="I199" s="96"/>
      <c r="J199" s="96"/>
      <c r="K199" s="96"/>
      <c r="L199" s="96"/>
      <c r="M199" s="96"/>
      <c r="N199" s="96"/>
      <c r="O199" s="96"/>
      <c r="P199" s="178" t="s">
        <v>296</v>
      </c>
      <c r="Z199" s="1154"/>
    </row>
    <row r="200" spans="1:26" ht="12" customHeight="1">
      <c r="P200" s="178" t="s">
        <v>297</v>
      </c>
    </row>
    <row r="201" spans="1:26" ht="12" customHeight="1">
      <c r="A201" s="159"/>
      <c r="P201" s="178" t="s">
        <v>298</v>
      </c>
    </row>
    <row r="202" spans="1:26" ht="12" customHeight="1">
      <c r="P202" s="178" t="s">
        <v>299</v>
      </c>
    </row>
    <row r="203" spans="1:26" ht="12" customHeight="1">
      <c r="P203" s="178" t="s">
        <v>300</v>
      </c>
    </row>
    <row r="204" spans="1:26" ht="12" customHeight="1">
      <c r="P204" s="178" t="s">
        <v>301</v>
      </c>
    </row>
    <row r="205" spans="1:26" ht="12" customHeight="1">
      <c r="P205" s="178" t="s">
        <v>302</v>
      </c>
    </row>
    <row r="206" spans="1:26" ht="12" customHeight="1">
      <c r="P206" s="178" t="s">
        <v>303</v>
      </c>
    </row>
    <row r="207" spans="1:26" ht="12" customHeight="1">
      <c r="P207" s="178" t="s">
        <v>304</v>
      </c>
    </row>
    <row r="208" spans="1:26" ht="12" customHeight="1">
      <c r="P208" s="178" t="s">
        <v>305</v>
      </c>
    </row>
    <row r="209" spans="16:16" ht="12" customHeight="1">
      <c r="P209" s="178" t="s">
        <v>306</v>
      </c>
    </row>
    <row r="210" spans="16:16" ht="12" customHeight="1">
      <c r="P210" s="178" t="s">
        <v>307</v>
      </c>
    </row>
    <row r="211" spans="16:16" ht="12" customHeight="1">
      <c r="P211" s="178" t="s">
        <v>308</v>
      </c>
    </row>
    <row r="212" spans="16:16" ht="12" customHeight="1">
      <c r="P212" s="178" t="s">
        <v>309</v>
      </c>
    </row>
    <row r="213" spans="16:16" ht="12" customHeight="1">
      <c r="P213" s="178" t="s">
        <v>310</v>
      </c>
    </row>
    <row r="214" spans="16:16" ht="12" customHeight="1">
      <c r="P214" s="178" t="s">
        <v>311</v>
      </c>
    </row>
    <row r="215" spans="16:16" ht="12" customHeight="1">
      <c r="P215" s="178" t="s">
        <v>312</v>
      </c>
    </row>
    <row r="216" spans="16:16" ht="12" customHeight="1">
      <c r="P216" s="178" t="s">
        <v>313</v>
      </c>
    </row>
    <row r="217" spans="16:16" ht="12" customHeight="1">
      <c r="P217" s="178" t="s">
        <v>314</v>
      </c>
    </row>
    <row r="218" spans="16:16" ht="12" customHeight="1">
      <c r="P218" s="178" t="s">
        <v>315</v>
      </c>
    </row>
    <row r="219" spans="16:16" ht="12" customHeight="1">
      <c r="P219" s="178" t="s">
        <v>316</v>
      </c>
    </row>
    <row r="220" spans="16:16" ht="12" customHeight="1">
      <c r="P220" s="178" t="s">
        <v>317</v>
      </c>
    </row>
    <row r="221" spans="16:16" ht="12" customHeight="1">
      <c r="P221" s="178" t="s">
        <v>318</v>
      </c>
    </row>
    <row r="222" spans="16:16" ht="13.5">
      <c r="P222" s="178" t="s">
        <v>319</v>
      </c>
    </row>
    <row r="223" spans="16:16" ht="12" customHeight="1">
      <c r="P223" s="178" t="s">
        <v>320</v>
      </c>
    </row>
    <row r="224" spans="16:16" ht="12" customHeight="1">
      <c r="P224" s="178" t="s">
        <v>321</v>
      </c>
    </row>
    <row r="225" spans="16:16" ht="12" customHeight="1">
      <c r="P225" s="178" t="s">
        <v>322</v>
      </c>
    </row>
    <row r="226" spans="16:16" ht="12" customHeight="1">
      <c r="P226" s="178" t="s">
        <v>323</v>
      </c>
    </row>
    <row r="227" spans="16:16" ht="12" customHeight="1">
      <c r="P227" s="178" t="s">
        <v>324</v>
      </c>
    </row>
    <row r="228" spans="16:16" ht="12" customHeight="1">
      <c r="P228" s="178" t="s">
        <v>325</v>
      </c>
    </row>
    <row r="229" spans="16:16" ht="12" customHeight="1">
      <c r="P229" s="178" t="s">
        <v>326</v>
      </c>
    </row>
    <row r="230" spans="16:16" ht="12" customHeight="1">
      <c r="P230" s="178" t="s">
        <v>327</v>
      </c>
    </row>
    <row r="231" spans="16:16" ht="12" customHeight="1">
      <c r="P231" s="178" t="s">
        <v>328</v>
      </c>
    </row>
    <row r="232" spans="16:16" ht="12" customHeight="1">
      <c r="P232" s="178" t="s">
        <v>329</v>
      </c>
    </row>
    <row r="233" spans="16:16" ht="12" customHeight="1">
      <c r="P233" s="178" t="s">
        <v>330</v>
      </c>
    </row>
    <row r="234" spans="16:16" ht="12" customHeight="1">
      <c r="P234" s="178" t="s">
        <v>331</v>
      </c>
    </row>
    <row r="235" spans="16:16" ht="12" customHeight="1">
      <c r="P235" s="178" t="s">
        <v>332</v>
      </c>
    </row>
    <row r="236" spans="16:16" ht="12" customHeight="1">
      <c r="P236" s="178" t="s">
        <v>333</v>
      </c>
    </row>
    <row r="237" spans="16:16" ht="12" customHeight="1">
      <c r="P237" s="178" t="s">
        <v>334</v>
      </c>
    </row>
    <row r="238" spans="16:16" ht="12" customHeight="1">
      <c r="P238" s="178" t="s">
        <v>335</v>
      </c>
    </row>
    <row r="239" spans="16:16" ht="12" customHeight="1">
      <c r="P239" s="178" t="s">
        <v>336</v>
      </c>
    </row>
    <row r="240" spans="16:16" ht="12" customHeight="1">
      <c r="P240" s="178" t="s">
        <v>337</v>
      </c>
    </row>
    <row r="241" spans="16:16" ht="12" customHeight="1">
      <c r="P241" s="178" t="s">
        <v>338</v>
      </c>
    </row>
    <row r="242" spans="16:16" ht="12" customHeight="1">
      <c r="P242" s="178" t="s">
        <v>339</v>
      </c>
    </row>
  </sheetData>
  <sheetProtection algorithmName="SHA-512" hashValue="pwuHYuNlYDJq50Om64tKoAOFeOiAbIl0RyJRgKVO02CIif0o6MZtaFDyuuEkwcQinjHZHtUXQ8hGGMnaqhXSyg==" saltValue="VVqriU5RHqV7veIVV+p5xg==" spinCount="100000" sheet="1" objects="1" scenarios="1" formatRows="0"/>
  <mergeCells count="310">
    <mergeCell ref="I162:S162"/>
    <mergeCell ref="I155:S155"/>
    <mergeCell ref="I154:S154"/>
    <mergeCell ref="I156:S156"/>
    <mergeCell ref="I157:S157"/>
    <mergeCell ref="I158:S158"/>
    <mergeCell ref="I159:S159"/>
    <mergeCell ref="I160:S160"/>
    <mergeCell ref="I161:S161"/>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H35:N35"/>
    <mergeCell ref="Q35:S35"/>
    <mergeCell ref="L30:M30"/>
    <mergeCell ref="Q30:S30"/>
    <mergeCell ref="H31:I31"/>
    <mergeCell ref="L31:S31"/>
    <mergeCell ref="H34:N34"/>
    <mergeCell ref="H38:I38"/>
    <mergeCell ref="L38:S38"/>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L43:M43"/>
    <mergeCell ref="Q43:S43"/>
    <mergeCell ref="H44:I44"/>
    <mergeCell ref="L44:S44"/>
    <mergeCell ref="H56:N56"/>
    <mergeCell ref="Q56:S56"/>
    <mergeCell ref="H57:J57"/>
    <mergeCell ref="L57:N57"/>
    <mergeCell ref="Q57:S57"/>
    <mergeCell ref="L58:M58"/>
    <mergeCell ref="Q58:S58"/>
    <mergeCell ref="L50:M50"/>
    <mergeCell ref="Q50:S50"/>
    <mergeCell ref="H51:I51"/>
    <mergeCell ref="L51:S51"/>
    <mergeCell ref="H55:N55"/>
    <mergeCell ref="Q55:S55"/>
    <mergeCell ref="H63:J63"/>
    <mergeCell ref="L63:N63"/>
    <mergeCell ref="Q63:S63"/>
    <mergeCell ref="L64:M64"/>
    <mergeCell ref="Q64:S64"/>
    <mergeCell ref="H65:I65"/>
    <mergeCell ref="L65:S65"/>
    <mergeCell ref="H59:I59"/>
    <mergeCell ref="L59:S59"/>
    <mergeCell ref="H61:N61"/>
    <mergeCell ref="Q61:S61"/>
    <mergeCell ref="H62:N62"/>
    <mergeCell ref="Q62:S62"/>
    <mergeCell ref="L70:M70"/>
    <mergeCell ref="Q70:S70"/>
    <mergeCell ref="H71:I71"/>
    <mergeCell ref="L71:S71"/>
    <mergeCell ref="H73:N73"/>
    <mergeCell ref="Q73:S73"/>
    <mergeCell ref="H67:N67"/>
    <mergeCell ref="Q67:S67"/>
    <mergeCell ref="H68:N68"/>
    <mergeCell ref="Q68:S68"/>
    <mergeCell ref="H69:J69"/>
    <mergeCell ref="L69:N69"/>
    <mergeCell ref="Q69:S69"/>
    <mergeCell ref="H77:I77"/>
    <mergeCell ref="L77:S77"/>
    <mergeCell ref="H81:N81"/>
    <mergeCell ref="Q81:S81"/>
    <mergeCell ref="H82:N82"/>
    <mergeCell ref="Q82:S82"/>
    <mergeCell ref="H74:N74"/>
    <mergeCell ref="Q74:S74"/>
    <mergeCell ref="H75:J75"/>
    <mergeCell ref="L75:N75"/>
    <mergeCell ref="Q75:S75"/>
    <mergeCell ref="L76:M76"/>
    <mergeCell ref="Q76:S76"/>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94:N94"/>
    <mergeCell ref="Q94:S94"/>
    <mergeCell ref="H95:J95"/>
    <mergeCell ref="L95:N95"/>
    <mergeCell ref="Q95:S95"/>
    <mergeCell ref="L96:M96"/>
    <mergeCell ref="Q96:S96"/>
    <mergeCell ref="L90:M90"/>
    <mergeCell ref="Q90:S90"/>
    <mergeCell ref="H91:I91"/>
    <mergeCell ref="L91:S91"/>
    <mergeCell ref="H93:N93"/>
    <mergeCell ref="Q93:S93"/>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L128:N128"/>
    <mergeCell ref="Q128:S128"/>
    <mergeCell ref="H129:N129"/>
    <mergeCell ref="Q129:S129"/>
    <mergeCell ref="H112:N112"/>
    <mergeCell ref="Q112:S112"/>
    <mergeCell ref="H113:J113"/>
    <mergeCell ref="L113:N113"/>
    <mergeCell ref="Q113:S113"/>
    <mergeCell ref="L114:M114"/>
    <mergeCell ref="Q114:S114"/>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A183:D183"/>
    <mergeCell ref="E183:H183"/>
    <mergeCell ref="N183:S183"/>
    <mergeCell ref="A186:M186"/>
    <mergeCell ref="N186:S186"/>
    <mergeCell ref="T186:X187"/>
    <mergeCell ref="A181:D181"/>
    <mergeCell ref="E181:H181"/>
    <mergeCell ref="N181:S181"/>
    <mergeCell ref="A182:D182"/>
    <mergeCell ref="E182:H182"/>
    <mergeCell ref="N182:S182"/>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J130:K130"/>
    <mergeCell ref="M130:S130"/>
    <mergeCell ref="H132:J132"/>
    <mergeCell ref="L132:N132"/>
    <mergeCell ref="Q132:S132"/>
    <mergeCell ref="H133:N133"/>
    <mergeCell ref="Q133:S133"/>
    <mergeCell ref="J134:K134"/>
    <mergeCell ref="M134:S134"/>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17" workbookViewId="0">
      <selection activeCell="L43" sqref="L43"/>
    </sheetView>
  </sheetViews>
  <sheetFormatPr defaultColWidth="9.140625" defaultRowHeight="13.5"/>
  <cols>
    <col min="1" max="1" width="4.140625" style="93" customWidth="1"/>
    <col min="2" max="2" width="8.140625" style="93" customWidth="1"/>
    <col min="3" max="3" width="9.140625" style="93" customWidth="1"/>
    <col min="4" max="4" width="10.42578125" style="93" customWidth="1"/>
    <col min="5" max="5" width="8.85546875" style="93" customWidth="1"/>
    <col min="6" max="6" width="2.85546875" style="93" customWidth="1"/>
    <col min="7" max="8" width="12" style="93" customWidth="1"/>
    <col min="9" max="17" width="8.140625" style="93" customWidth="1"/>
    <col min="18" max="18" width="3.140625" style="93" customWidth="1"/>
    <col min="19" max="19" width="13.5703125" style="93" customWidth="1"/>
    <col min="20" max="20" width="98.85546875" style="93" customWidth="1"/>
    <col min="21" max="24" width="9.140625" style="93"/>
    <col min="25" max="25" width="16.5703125" style="1740" bestFit="1" customWidth="1"/>
    <col min="26" max="26" width="9.140625" style="1812"/>
    <col min="27" max="51" width="9.140625" style="93"/>
    <col min="52" max="52" width="9.140625" style="1127"/>
    <col min="53" max="16384" width="9.140625" style="93"/>
  </cols>
  <sheetData>
    <row r="1" spans="1:52" s="1812" customFormat="1" hidden="1">
      <c r="A1" s="1808"/>
      <c r="B1" s="1808" t="s">
        <v>3</v>
      </c>
      <c r="C1" s="1808"/>
      <c r="D1" s="1808"/>
      <c r="E1" s="1808" t="s">
        <v>340</v>
      </c>
      <c r="F1" s="1808"/>
      <c r="G1" s="2651"/>
      <c r="H1" s="2651" t="s">
        <v>341</v>
      </c>
      <c r="I1" s="2651" t="s">
        <v>342</v>
      </c>
      <c r="J1" s="2651"/>
      <c r="K1" s="2651" t="s">
        <v>343</v>
      </c>
      <c r="L1" s="2651" t="s">
        <v>344</v>
      </c>
      <c r="M1" s="1812" t="s">
        <v>345</v>
      </c>
      <c r="N1" s="1812" t="s">
        <v>346</v>
      </c>
      <c r="P1" s="1812" t="s">
        <v>347</v>
      </c>
      <c r="Y1" s="1813"/>
      <c r="Z1" s="1809">
        <v>1</v>
      </c>
    </row>
    <row r="2" spans="1:52" s="135" customFormat="1" ht="14.1" customHeight="1">
      <c r="A2" s="3535" t="str">
        <f>CONCATENATE("PART TWO - SOURCES OF FUNDS (Proposed)","  -  ",'Part I-Project Identification'!$O$7," ",'Part I-Project Identification'!$F$27,", ",'Part I-Project Identification'!$F$28,", ",'Part I-Project Identification'!$J$28," County")</f>
        <v>PART TWO - SOURCES OF FUNDS (Proposed)  -  2026-0xx Westchester Village II, Jonesboro, Clayton County</v>
      </c>
      <c r="B2" s="3536"/>
      <c r="C2" s="3536"/>
      <c r="D2" s="3536"/>
      <c r="E2" s="3536"/>
      <c r="F2" s="3536"/>
      <c r="G2" s="3536"/>
      <c r="H2" s="3536"/>
      <c r="I2" s="3536"/>
      <c r="J2" s="3536"/>
      <c r="K2" s="3536"/>
      <c r="L2" s="3536"/>
      <c r="M2" s="3536"/>
      <c r="N2" s="3536"/>
      <c r="O2" s="3536"/>
      <c r="P2" s="3536"/>
      <c r="Q2" s="3537"/>
      <c r="S2" s="3579" t="str">
        <f>$A$2</f>
        <v>PART TWO - SOURCES OF FUNDS (Proposed)  -  2026-0xx Westchester Village II, Jonesboro, Clayton County</v>
      </c>
      <c r="T2" s="3579"/>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35" customHeight="1">
      <c r="A4" s="151" t="s">
        <v>21</v>
      </c>
      <c r="B4" s="151" t="s">
        <v>348</v>
      </c>
      <c r="C4" s="95"/>
      <c r="D4" s="95"/>
      <c r="E4" s="95"/>
      <c r="F4" s="95"/>
      <c r="G4" s="95"/>
      <c r="L4" s="3580" t="str">
        <f>'Part I-Project Identification'!$A$6</f>
        <v>May XX, 2026</v>
      </c>
      <c r="M4" s="3581"/>
      <c r="N4" s="3581"/>
      <c r="O4" s="3581"/>
      <c r="P4" s="3582"/>
      <c r="S4" s="163" t="str">
        <f>B4</f>
        <v>GOVERNMENT FUNDING SOURCES  (check all that apply)</v>
      </c>
      <c r="Y4" s="1741"/>
      <c r="Z4" s="1809">
        <v>4</v>
      </c>
      <c r="AZ4" s="1128"/>
    </row>
    <row r="5" spans="1:52" s="135" customFormat="1" ht="13.5" customHeight="1">
      <c r="A5" s="159"/>
      <c r="B5" s="267"/>
      <c r="C5" s="159"/>
      <c r="D5" s="95"/>
      <c r="E5" s="95"/>
      <c r="F5" s="95"/>
      <c r="G5" s="95"/>
      <c r="S5" s="3583" t="s">
        <v>349</v>
      </c>
      <c r="T5" s="3583"/>
      <c r="Y5" s="1741"/>
      <c r="Z5" s="1809">
        <v>5</v>
      </c>
      <c r="AZ5" s="1128"/>
    </row>
    <row r="6" spans="1:52" s="135" customFormat="1" ht="16.5" customHeight="1">
      <c r="A6" s="267"/>
      <c r="B6" s="2653" t="s">
        <v>7444</v>
      </c>
      <c r="C6" s="136" t="s">
        <v>350</v>
      </c>
      <c r="D6" s="95"/>
      <c r="E6" s="2653"/>
      <c r="F6" s="136" t="s">
        <v>351</v>
      </c>
      <c r="G6" s="95"/>
      <c r="H6" s="2654"/>
      <c r="L6" s="2653"/>
      <c r="M6" s="136" t="s">
        <v>352</v>
      </c>
      <c r="O6" s="2655"/>
      <c r="P6" s="136" t="s">
        <v>353</v>
      </c>
      <c r="S6" s="3562"/>
      <c r="T6" s="3563"/>
      <c r="Y6" s="1741"/>
      <c r="Z6" s="1809">
        <v>6</v>
      </c>
      <c r="AZ6" s="1128"/>
    </row>
    <row r="7" spans="1:52" s="135" customFormat="1" ht="16.5" customHeight="1">
      <c r="A7" s="267"/>
      <c r="B7" s="602"/>
      <c r="C7" s="136" t="s">
        <v>354</v>
      </c>
      <c r="D7" s="95"/>
      <c r="E7" s="601"/>
      <c r="F7" s="136" t="s">
        <v>355</v>
      </c>
      <c r="H7" s="1780"/>
      <c r="L7" s="602"/>
      <c r="M7" s="1763" t="s">
        <v>356</v>
      </c>
      <c r="S7" s="3564"/>
      <c r="T7" s="3565"/>
      <c r="Y7" s="1741"/>
      <c r="Z7" s="1809">
        <v>7</v>
      </c>
      <c r="AZ7" s="1128"/>
    </row>
    <row r="8" spans="1:52" s="135" customFormat="1" ht="16.5" customHeight="1">
      <c r="A8" s="95"/>
      <c r="B8" s="602"/>
      <c r="C8" s="136" t="s">
        <v>357</v>
      </c>
      <c r="F8" s="135" t="s">
        <v>358</v>
      </c>
      <c r="H8" s="3584" t="s">
        <v>359</v>
      </c>
      <c r="I8" s="3585"/>
      <c r="J8" s="3586"/>
      <c r="L8" s="602"/>
      <c r="M8" s="1085" t="s">
        <v>360</v>
      </c>
      <c r="S8" s="3564"/>
      <c r="T8" s="3565"/>
      <c r="Y8" s="1741"/>
      <c r="Z8" s="1809">
        <v>8</v>
      </c>
      <c r="AZ8" s="1128"/>
    </row>
    <row r="9" spans="1:52" s="135" customFormat="1" ht="16.5" customHeight="1">
      <c r="A9" s="267"/>
      <c r="B9" s="602"/>
      <c r="C9" s="135" t="s">
        <v>361</v>
      </c>
      <c r="E9" s="2655"/>
      <c r="F9" s="136" t="s">
        <v>362</v>
      </c>
      <c r="H9" s="2656"/>
      <c r="I9" s="2657"/>
      <c r="J9" s="2658"/>
      <c r="L9" s="602"/>
      <c r="M9" s="1085" t="s">
        <v>363</v>
      </c>
      <c r="Q9" s="1085"/>
      <c r="S9" s="3566"/>
      <c r="T9" s="3567"/>
      <c r="Y9" s="1741"/>
      <c r="Z9" s="1809">
        <v>9</v>
      </c>
      <c r="AZ9" s="1128"/>
    </row>
    <row r="10" spans="1:52" s="135" customFormat="1" ht="16.5" customHeight="1">
      <c r="A10" s="267"/>
      <c r="B10" s="602"/>
      <c r="C10" s="136" t="s">
        <v>364</v>
      </c>
      <c r="L10" s="602"/>
      <c r="M10" s="136" t="s">
        <v>365</v>
      </c>
      <c r="Q10" s="1085"/>
      <c r="S10" s="3562"/>
      <c r="T10" s="3563"/>
      <c r="Y10" s="1741"/>
      <c r="Z10" s="1809">
        <v>10</v>
      </c>
      <c r="AZ10" s="1128"/>
    </row>
    <row r="11" spans="1:52" s="135" customFormat="1" ht="16.5" customHeight="1">
      <c r="A11" s="267"/>
      <c r="B11" s="602"/>
      <c r="C11" s="136" t="s">
        <v>366</v>
      </c>
      <c r="E11" s="2659"/>
      <c r="F11" s="3587" t="s">
        <v>367</v>
      </c>
      <c r="G11" s="3588"/>
      <c r="H11" s="3588"/>
      <c r="I11" s="3588"/>
      <c r="J11" s="3589"/>
      <c r="L11" s="602"/>
      <c r="M11" s="136" t="s">
        <v>368</v>
      </c>
      <c r="S11" s="3564"/>
      <c r="T11" s="3565"/>
      <c r="Y11" s="1741"/>
      <c r="Z11" s="1809">
        <v>11</v>
      </c>
      <c r="AZ11" s="1128"/>
    </row>
    <row r="12" spans="1:52" s="135" customFormat="1" ht="16.5" customHeight="1">
      <c r="A12" s="267"/>
      <c r="B12" s="602"/>
      <c r="C12" s="136" t="s">
        <v>369</v>
      </c>
      <c r="F12" s="3559" t="s">
        <v>370</v>
      </c>
      <c r="G12" s="3560"/>
      <c r="H12" s="3560"/>
      <c r="I12" s="3560"/>
      <c r="J12" s="3561"/>
      <c r="L12" s="602"/>
      <c r="M12" s="136" t="s">
        <v>371</v>
      </c>
      <c r="S12" s="3564"/>
      <c r="T12" s="3565"/>
      <c r="Y12" s="1741"/>
      <c r="Z12" s="1809">
        <v>12</v>
      </c>
      <c r="AZ12" s="1128"/>
    </row>
    <row r="13" spans="1:52" s="135" customFormat="1" ht="16.5" customHeight="1">
      <c r="A13" s="267"/>
      <c r="B13" s="602"/>
      <c r="C13" s="136" t="s">
        <v>372</v>
      </c>
      <c r="E13" s="2659"/>
      <c r="F13" s="3568"/>
      <c r="G13" s="3569"/>
      <c r="H13" s="3569"/>
      <c r="I13" s="3569"/>
      <c r="J13" s="3570"/>
      <c r="L13" s="602"/>
      <c r="M13" s="135" t="s">
        <v>373</v>
      </c>
      <c r="S13" s="3564"/>
      <c r="T13" s="3565"/>
      <c r="Y13" s="1741"/>
      <c r="Z13" s="1809">
        <v>13</v>
      </c>
      <c r="AZ13" s="1128"/>
    </row>
    <row r="14" spans="1:52" s="135" customFormat="1" ht="16.5" customHeight="1">
      <c r="A14" s="267"/>
      <c r="B14" s="602"/>
      <c r="C14" s="135" t="s">
        <v>374</v>
      </c>
      <c r="F14" s="3571" t="s">
        <v>375</v>
      </c>
      <c r="G14" s="3572"/>
      <c r="H14" s="3572"/>
      <c r="I14" s="3572"/>
      <c r="J14" s="3573"/>
      <c r="L14" s="602"/>
      <c r="M14" s="135" t="s">
        <v>376</v>
      </c>
      <c r="S14" s="3566"/>
      <c r="T14" s="3567"/>
      <c r="Y14" s="1741"/>
      <c r="Z14" s="1809">
        <v>14</v>
      </c>
      <c r="AZ14" s="1128"/>
    </row>
    <row r="15" spans="1:52" s="135" customFormat="1" ht="16.5" customHeight="1">
      <c r="A15" s="267"/>
      <c r="B15" s="602"/>
      <c r="C15" s="135" t="s">
        <v>377</v>
      </c>
      <c r="E15" s="2653"/>
      <c r="F15" s="2660" t="s">
        <v>378</v>
      </c>
      <c r="G15" s="2661"/>
      <c r="H15" s="3574" t="s">
        <v>379</v>
      </c>
      <c r="I15" s="3575"/>
      <c r="J15" s="3576"/>
      <c r="L15" s="602"/>
      <c r="M15" s="135" t="s">
        <v>380</v>
      </c>
      <c r="S15" s="3562"/>
      <c r="T15" s="3563"/>
      <c r="Y15" s="1741"/>
      <c r="Z15" s="1809">
        <v>15</v>
      </c>
      <c r="AZ15" s="1128"/>
    </row>
    <row r="16" spans="1:52" s="135" customFormat="1" ht="16.5" customHeight="1">
      <c r="A16" s="267"/>
      <c r="B16" s="602"/>
      <c r="C16" s="136" t="s">
        <v>381</v>
      </c>
      <c r="E16" s="602"/>
      <c r="F16" s="136" t="s">
        <v>382</v>
      </c>
      <c r="L16" s="602"/>
      <c r="M16" s="135" t="s">
        <v>383</v>
      </c>
      <c r="S16" s="3564"/>
      <c r="T16" s="3565"/>
      <c r="Y16" s="1741"/>
      <c r="Z16" s="1809">
        <v>16</v>
      </c>
      <c r="AZ16" s="1128"/>
    </row>
    <row r="17" spans="1:52" s="135" customFormat="1" ht="16.5" customHeight="1">
      <c r="A17" s="267"/>
      <c r="B17" s="601"/>
      <c r="C17" s="136" t="s">
        <v>384</v>
      </c>
      <c r="E17" s="602"/>
      <c r="F17" s="136" t="s">
        <v>385</v>
      </c>
      <c r="L17" s="602"/>
      <c r="M17" s="1085" t="s">
        <v>386</v>
      </c>
      <c r="S17" s="3564"/>
      <c r="T17" s="3565"/>
      <c r="Y17" s="1741"/>
      <c r="Z17" s="1809">
        <v>17</v>
      </c>
      <c r="AZ17" s="1128"/>
    </row>
    <row r="18" spans="1:52" s="135" customFormat="1" ht="16.5" customHeight="1">
      <c r="A18" s="267"/>
      <c r="B18" s="136" t="s">
        <v>387</v>
      </c>
      <c r="D18" s="3577"/>
      <c r="E18" s="3578"/>
      <c r="F18" s="136"/>
      <c r="L18" s="601"/>
      <c r="M18" s="1085" t="s">
        <v>388</v>
      </c>
      <c r="S18" s="3566"/>
      <c r="T18" s="3567"/>
      <c r="Y18" s="1741"/>
      <c r="Z18" s="1809">
        <v>18</v>
      </c>
      <c r="AZ18" s="1128"/>
    </row>
    <row r="19" spans="1:52" s="135" customFormat="1" ht="17.100000000000001" customHeight="1">
      <c r="A19" s="267"/>
      <c r="B19" s="135" t="s">
        <v>389</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25</v>
      </c>
      <c r="B21" s="134" t="s">
        <v>390</v>
      </c>
      <c r="C21" s="95"/>
      <c r="D21" s="95"/>
      <c r="E21" s="95"/>
      <c r="F21" s="95"/>
      <c r="G21" s="95"/>
      <c r="L21" s="95"/>
      <c r="M21" s="95"/>
      <c r="N21" s="3596"/>
      <c r="O21" s="3596"/>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00000000000001" customHeight="1">
      <c r="A23" s="95"/>
      <c r="B23" s="153" t="s">
        <v>391</v>
      </c>
      <c r="C23" s="95"/>
      <c r="D23" s="95"/>
      <c r="E23" s="95"/>
      <c r="F23" s="95"/>
      <c r="G23" s="3549" t="s">
        <v>392</v>
      </c>
      <c r="H23" s="3549"/>
      <c r="I23" s="3549"/>
      <c r="J23" s="3549"/>
      <c r="K23" s="3549"/>
      <c r="L23" s="3597" t="s">
        <v>393</v>
      </c>
      <c r="M23" s="3597"/>
      <c r="N23" s="3597" t="s">
        <v>394</v>
      </c>
      <c r="O23" s="3597"/>
      <c r="P23" s="3597" t="s">
        <v>395</v>
      </c>
      <c r="Q23" s="3597"/>
      <c r="S23" s="3583" t="s">
        <v>349</v>
      </c>
      <c r="T23" s="3583"/>
      <c r="Y23" s="1741"/>
      <c r="Z23" s="1809">
        <v>23</v>
      </c>
      <c r="AZ23" s="1128" t="s">
        <v>396</v>
      </c>
    </row>
    <row r="24" spans="1:52" s="135" customFormat="1" ht="15.75" customHeight="1">
      <c r="A24" s="95"/>
      <c r="B24" s="3608" t="s">
        <v>397</v>
      </c>
      <c r="C24" s="3609"/>
      <c r="D24" s="3609"/>
      <c r="E24" s="2662"/>
      <c r="F24" s="2662"/>
      <c r="G24" s="3550" t="s">
        <v>7667</v>
      </c>
      <c r="H24" s="3551"/>
      <c r="I24" s="3551"/>
      <c r="J24" s="3551"/>
      <c r="K24" s="3552"/>
      <c r="L24" s="3610">
        <v>16610244</v>
      </c>
      <c r="M24" s="3611"/>
      <c r="N24" s="3612">
        <v>7.2499999999999995E-2</v>
      </c>
      <c r="O24" s="3613"/>
      <c r="P24" s="3614">
        <v>24</v>
      </c>
      <c r="Q24" s="3615"/>
      <c r="S24" s="3562"/>
      <c r="T24" s="3563"/>
      <c r="Y24" s="1741" t="s">
        <v>396</v>
      </c>
      <c r="Z24" s="1809">
        <v>24</v>
      </c>
      <c r="AZ24" s="1128" t="s">
        <v>398</v>
      </c>
    </row>
    <row r="25" spans="1:52" s="135" customFormat="1" ht="15.75" customHeight="1">
      <c r="A25" s="95"/>
      <c r="B25" s="3590" t="s">
        <v>399</v>
      </c>
      <c r="C25" s="3591"/>
      <c r="D25" s="3591"/>
      <c r="E25" s="95"/>
      <c r="F25" s="95"/>
      <c r="G25" s="3553"/>
      <c r="H25" s="3554"/>
      <c r="I25" s="3554"/>
      <c r="J25" s="3554"/>
      <c r="K25" s="3555"/>
      <c r="L25" s="3592"/>
      <c r="M25" s="3593"/>
      <c r="N25" s="3594"/>
      <c r="O25" s="3595"/>
      <c r="P25" s="3598"/>
      <c r="Q25" s="3599"/>
      <c r="S25" s="3564"/>
      <c r="T25" s="3565"/>
      <c r="Y25" s="1741" t="s">
        <v>398</v>
      </c>
      <c r="Z25" s="1809">
        <v>25</v>
      </c>
      <c r="AZ25" s="1128" t="s">
        <v>400</v>
      </c>
    </row>
    <row r="26" spans="1:52" s="135" customFormat="1" ht="15.75" customHeight="1">
      <c r="A26" s="95"/>
      <c r="B26" s="3600" t="s">
        <v>401</v>
      </c>
      <c r="C26" s="3601"/>
      <c r="D26" s="3601"/>
      <c r="E26" s="2523"/>
      <c r="F26" s="2523"/>
      <c r="G26" s="3556"/>
      <c r="H26" s="3557"/>
      <c r="I26" s="3557"/>
      <c r="J26" s="3557"/>
      <c r="K26" s="3558"/>
      <c r="L26" s="3602"/>
      <c r="M26" s="3603"/>
      <c r="N26" s="3604"/>
      <c r="O26" s="3605"/>
      <c r="P26" s="3606"/>
      <c r="Q26" s="3607"/>
      <c r="S26" s="3564"/>
      <c r="T26" s="3565"/>
      <c r="Y26" s="1741" t="s">
        <v>400</v>
      </c>
      <c r="Z26" s="1809">
        <v>26</v>
      </c>
      <c r="AZ26" s="1128" t="s">
        <v>402</v>
      </c>
    </row>
    <row r="27" spans="1:52" s="135" customFormat="1" ht="15.75" customHeight="1">
      <c r="A27" s="95"/>
      <c r="B27" s="3608" t="s">
        <v>403</v>
      </c>
      <c r="C27" s="3609"/>
      <c r="D27" s="3609"/>
      <c r="E27" s="95"/>
      <c r="F27" s="95"/>
      <c r="G27" s="3550"/>
      <c r="H27" s="3551"/>
      <c r="I27" s="3551"/>
      <c r="J27" s="3551"/>
      <c r="K27" s="3552"/>
      <c r="L27" s="3610"/>
      <c r="M27" s="3611"/>
      <c r="N27" s="3618"/>
      <c r="O27" s="3619"/>
      <c r="P27" s="3620"/>
      <c r="Q27" s="3620"/>
      <c r="S27" s="3564"/>
      <c r="T27" s="3565"/>
      <c r="Y27" s="1741" t="s">
        <v>402</v>
      </c>
      <c r="Z27" s="1809">
        <v>27</v>
      </c>
      <c r="AZ27" s="1128" t="s">
        <v>404</v>
      </c>
    </row>
    <row r="28" spans="1:52" s="135" customFormat="1" ht="15.75" customHeight="1">
      <c r="A28" s="95"/>
      <c r="B28" s="3590" t="s">
        <v>405</v>
      </c>
      <c r="C28" s="3591"/>
      <c r="D28" s="3591"/>
      <c r="E28" s="95"/>
      <c r="G28" s="3553"/>
      <c r="H28" s="3554"/>
      <c r="I28" s="3554"/>
      <c r="J28" s="3554"/>
      <c r="K28" s="3555"/>
      <c r="L28" s="3592"/>
      <c r="M28" s="3593"/>
      <c r="N28" s="3616"/>
      <c r="O28" s="3617"/>
      <c r="P28" s="3596"/>
      <c r="Q28" s="3596"/>
      <c r="S28" s="3564"/>
      <c r="T28" s="3565"/>
      <c r="Y28" s="1741" t="s">
        <v>404</v>
      </c>
      <c r="Z28" s="1809">
        <v>28</v>
      </c>
      <c r="AZ28" s="1128" t="s">
        <v>406</v>
      </c>
    </row>
    <row r="29" spans="1:52" s="135" customFormat="1" ht="15.75" customHeight="1">
      <c r="A29" s="95"/>
      <c r="B29" s="3590" t="s">
        <v>407</v>
      </c>
      <c r="C29" s="3591"/>
      <c r="D29" s="3591"/>
      <c r="E29" s="95"/>
      <c r="G29" s="3553"/>
      <c r="H29" s="3554"/>
      <c r="I29" s="3554"/>
      <c r="J29" s="3554"/>
      <c r="K29" s="3555"/>
      <c r="L29" s="3592"/>
      <c r="M29" s="3593"/>
      <c r="N29" s="3616"/>
      <c r="O29" s="3617"/>
      <c r="P29" s="3596"/>
      <c r="Q29" s="3596"/>
      <c r="S29" s="3564"/>
      <c r="T29" s="3565"/>
      <c r="Y29" s="1741" t="s">
        <v>406</v>
      </c>
      <c r="Z29" s="1809">
        <v>29</v>
      </c>
      <c r="AZ29" s="1128" t="s">
        <v>408</v>
      </c>
    </row>
    <row r="30" spans="1:52" s="135" customFormat="1" ht="15.75" customHeight="1">
      <c r="A30" s="95"/>
      <c r="B30" s="3590" t="s">
        <v>409</v>
      </c>
      <c r="C30" s="3591"/>
      <c r="D30" s="3591"/>
      <c r="E30" s="95"/>
      <c r="G30" s="3553" t="s">
        <v>7668</v>
      </c>
      <c r="H30" s="3554"/>
      <c r="I30" s="3554"/>
      <c r="J30" s="3554"/>
      <c r="K30" s="3555"/>
      <c r="L30" s="3592">
        <v>1052789</v>
      </c>
      <c r="M30" s="3593"/>
      <c r="N30" s="95"/>
      <c r="Q30" s="95"/>
      <c r="S30" s="3566"/>
      <c r="T30" s="3567"/>
      <c r="Y30" s="1741" t="s">
        <v>408</v>
      </c>
      <c r="Z30" s="1809">
        <v>30</v>
      </c>
      <c r="AZ30" s="1128" t="s">
        <v>410</v>
      </c>
    </row>
    <row r="31" spans="1:52" s="135" customFormat="1" ht="15.75" customHeight="1">
      <c r="A31" s="95"/>
      <c r="B31" s="3590" t="s">
        <v>411</v>
      </c>
      <c r="C31" s="3591"/>
      <c r="D31" s="3591"/>
      <c r="E31" s="95"/>
      <c r="G31" s="3553" t="s">
        <v>7668</v>
      </c>
      <c r="H31" s="3554"/>
      <c r="I31" s="3554"/>
      <c r="J31" s="3554"/>
      <c r="K31" s="3555"/>
      <c r="L31" s="3592">
        <v>580500</v>
      </c>
      <c r="M31" s="3593"/>
      <c r="N31" s="95"/>
      <c r="Q31" s="95"/>
      <c r="S31" s="3562"/>
      <c r="T31" s="3563"/>
      <c r="Y31" s="1741" t="s">
        <v>410</v>
      </c>
      <c r="Z31" s="1809">
        <v>31</v>
      </c>
      <c r="AZ31" s="1128" t="s">
        <v>412</v>
      </c>
    </row>
    <row r="32" spans="1:52" s="135" customFormat="1" ht="15.75" customHeight="1">
      <c r="A32" s="95"/>
      <c r="B32" s="2514" t="s">
        <v>413</v>
      </c>
      <c r="C32" s="95"/>
      <c r="D32" s="3550"/>
      <c r="E32" s="3551"/>
      <c r="F32" s="3552"/>
      <c r="G32" s="3553"/>
      <c r="H32" s="3554"/>
      <c r="I32" s="3554"/>
      <c r="J32" s="3554"/>
      <c r="K32" s="3555"/>
      <c r="L32" s="3592"/>
      <c r="M32" s="3593"/>
      <c r="N32" s="95"/>
      <c r="Q32" s="95"/>
      <c r="S32" s="3564"/>
      <c r="T32" s="3565"/>
      <c r="Y32" s="1741" t="s">
        <v>412</v>
      </c>
      <c r="Z32" s="1809">
        <v>32</v>
      </c>
      <c r="AZ32" s="1128" t="s">
        <v>414</v>
      </c>
    </row>
    <row r="33" spans="1:52" s="135" customFormat="1" ht="15.75" customHeight="1">
      <c r="A33" s="95"/>
      <c r="B33" s="2514" t="s">
        <v>413</v>
      </c>
      <c r="C33" s="95"/>
      <c r="D33" s="3553"/>
      <c r="E33" s="3554"/>
      <c r="F33" s="3555"/>
      <c r="G33" s="3553"/>
      <c r="H33" s="3554"/>
      <c r="I33" s="3554"/>
      <c r="J33" s="3554"/>
      <c r="K33" s="3555"/>
      <c r="L33" s="3592"/>
      <c r="M33" s="3593"/>
      <c r="N33" s="95"/>
      <c r="S33" s="3564"/>
      <c r="T33" s="3565"/>
      <c r="Y33" s="1741" t="s">
        <v>414</v>
      </c>
      <c r="Z33" s="1809">
        <v>33</v>
      </c>
      <c r="AZ33" s="1128" t="s">
        <v>415</v>
      </c>
    </row>
    <row r="34" spans="1:52" s="135" customFormat="1" ht="15.75" customHeight="1">
      <c r="A34" s="95"/>
      <c r="B34" s="2522" t="s">
        <v>413</v>
      </c>
      <c r="C34" s="2523"/>
      <c r="D34" s="3556"/>
      <c r="E34" s="3557"/>
      <c r="F34" s="3558"/>
      <c r="G34" s="3556"/>
      <c r="H34" s="3557"/>
      <c r="I34" s="3557"/>
      <c r="J34" s="3557"/>
      <c r="K34" s="3558"/>
      <c r="L34" s="3602"/>
      <c r="M34" s="3603"/>
      <c r="N34" s="95"/>
      <c r="S34" s="3564"/>
      <c r="T34" s="3565"/>
      <c r="Y34" s="1741" t="s">
        <v>415</v>
      </c>
      <c r="Z34" s="1809">
        <v>34</v>
      </c>
      <c r="AZ34" s="1128"/>
    </row>
    <row r="35" spans="1:52" s="135" customFormat="1" ht="16.5" customHeight="1">
      <c r="A35" s="95"/>
      <c r="B35" s="134" t="s">
        <v>416</v>
      </c>
      <c r="C35" s="95"/>
      <c r="D35" s="95"/>
      <c r="E35" s="95"/>
      <c r="F35" s="95"/>
      <c r="G35" s="95"/>
      <c r="H35" s="95"/>
      <c r="I35" s="95"/>
      <c r="L35" s="3624">
        <f>SUM(L24:L34)</f>
        <v>18243533</v>
      </c>
      <c r="M35" s="3625"/>
      <c r="N35" s="96"/>
      <c r="S35" s="3564"/>
      <c r="T35" s="3565"/>
      <c r="Y35" s="1741"/>
      <c r="Z35" s="1809">
        <v>35</v>
      </c>
      <c r="AZ35" s="1128"/>
    </row>
    <row r="36" spans="1:52" s="135" customFormat="1" ht="16.5" customHeight="1">
      <c r="A36" s="95"/>
      <c r="B36" s="153" t="s">
        <v>417</v>
      </c>
      <c r="C36" s="95"/>
      <c r="D36" s="95"/>
      <c r="E36" s="95"/>
      <c r="F36" s="95"/>
      <c r="G36" s="95"/>
      <c r="H36" s="95"/>
      <c r="I36" s="95"/>
      <c r="L36" s="3626">
        <f>'Part III-A-Uses of Funds'!$G$147-'Part III-A-Uses of Funds'!$G$103-'Part III-A-Uses of Funds'!$G$109-'Part III-A-Uses of Funds'!$G$130-'Part III-A-Uses of Funds'!$G$131-'Part III-A-Uses of Funds'!$G$133-'Part III-A-Uses of Funds'!$G$127+'Part III-A-Uses of Funds'!$F$123</f>
        <v>18243533</v>
      </c>
      <c r="M36" s="3627"/>
      <c r="N36" s="481"/>
      <c r="S36" s="3564"/>
      <c r="T36" s="3565"/>
      <c r="Y36" s="1741"/>
      <c r="Z36" s="1809">
        <v>36</v>
      </c>
      <c r="AZ36" s="1128"/>
    </row>
    <row r="37" spans="1:52" s="135" customFormat="1" ht="16.5" customHeight="1">
      <c r="A37" s="95"/>
      <c r="B37" s="153" t="s">
        <v>418</v>
      </c>
      <c r="C37" s="95"/>
      <c r="D37" s="95"/>
      <c r="E37" s="95"/>
      <c r="F37" s="95"/>
      <c r="G37" s="95"/>
      <c r="H37" s="95"/>
      <c r="I37" s="95"/>
      <c r="L37" s="3628">
        <f>L35-L36</f>
        <v>0</v>
      </c>
      <c r="M37" s="3629"/>
      <c r="N37" s="481"/>
      <c r="S37" s="3566"/>
      <c r="T37" s="3567"/>
      <c r="Y37" s="1741"/>
      <c r="Z37" s="1809">
        <v>37</v>
      </c>
      <c r="AZ37" s="1127"/>
    </row>
    <row r="38" spans="1:52" ht="9.6" customHeight="1">
      <c r="A38" s="159"/>
      <c r="B38" s="134"/>
      <c r="C38" s="96"/>
      <c r="D38" s="96"/>
      <c r="E38" s="96"/>
      <c r="F38" s="96"/>
      <c r="G38" s="96"/>
      <c r="H38" s="96"/>
      <c r="I38" s="96"/>
      <c r="J38" s="96"/>
      <c r="K38" s="96"/>
      <c r="L38" s="96"/>
      <c r="M38" s="2517"/>
      <c r="N38" s="2517"/>
      <c r="Z38" s="1809">
        <v>38</v>
      </c>
    </row>
    <row r="39" spans="1:52" ht="9.6" customHeight="1">
      <c r="A39" s="151" t="s">
        <v>31</v>
      </c>
      <c r="B39" s="134" t="s">
        <v>419</v>
      </c>
      <c r="C39" s="96"/>
      <c r="D39" s="96"/>
      <c r="E39" s="96"/>
      <c r="F39" s="96"/>
      <c r="G39" s="96"/>
      <c r="H39" s="96"/>
      <c r="I39" s="96"/>
      <c r="J39" s="96"/>
      <c r="K39" s="96"/>
      <c r="L39" s="96"/>
      <c r="M39" s="2517"/>
      <c r="N39" s="2517"/>
      <c r="O39" s="96"/>
      <c r="S39" s="163" t="str">
        <f>B39</f>
        <v>PERMANENT FINANCING</v>
      </c>
      <c r="Z39" s="1809">
        <v>39</v>
      </c>
      <c r="AZ39" s="1128"/>
    </row>
    <row r="40" spans="1:52" s="135" customFormat="1" ht="13.35" customHeight="1">
      <c r="A40" s="95"/>
      <c r="B40" s="95"/>
      <c r="C40" s="95"/>
      <c r="D40" s="95"/>
      <c r="E40" s="95"/>
      <c r="F40" s="2517"/>
      <c r="G40" s="2517"/>
      <c r="H40" s="3596"/>
      <c r="I40" s="3596"/>
      <c r="K40" s="158" t="s">
        <v>420</v>
      </c>
      <c r="L40" s="2517" t="s">
        <v>421</v>
      </c>
      <c r="M40" s="2517" t="s">
        <v>422</v>
      </c>
      <c r="P40" s="3621" t="s">
        <v>423</v>
      </c>
      <c r="Q40" s="3621"/>
      <c r="S40" s="163"/>
      <c r="Y40" s="1741"/>
      <c r="Z40" s="1809">
        <v>40</v>
      </c>
      <c r="AZ40" s="1128"/>
    </row>
    <row r="41" spans="1:52" s="135" customFormat="1" ht="13.35" customHeight="1">
      <c r="A41" s="95"/>
      <c r="B41" s="2518" t="s">
        <v>391</v>
      </c>
      <c r="C41" s="2523"/>
      <c r="D41" s="2523"/>
      <c r="E41" s="3549" t="s">
        <v>392</v>
      </c>
      <c r="F41" s="3549"/>
      <c r="G41" s="3549"/>
      <c r="H41" s="3549"/>
      <c r="I41" s="3597" t="s">
        <v>424</v>
      </c>
      <c r="J41" s="3597"/>
      <c r="K41" s="2519" t="s">
        <v>425</v>
      </c>
      <c r="L41" s="2519" t="s">
        <v>426</v>
      </c>
      <c r="M41" s="2519" t="s">
        <v>426</v>
      </c>
      <c r="N41" s="3597" t="s">
        <v>427</v>
      </c>
      <c r="O41" s="3597"/>
      <c r="P41" s="3622"/>
      <c r="Q41" s="3622"/>
      <c r="S41" s="3623" t="s">
        <v>349</v>
      </c>
      <c r="T41" s="3623"/>
      <c r="Y41" s="1741"/>
      <c r="Z41" s="1809">
        <v>41</v>
      </c>
      <c r="AZ41" s="1128" t="s">
        <v>428</v>
      </c>
    </row>
    <row r="42" spans="1:52" s="135" customFormat="1" ht="15" customHeight="1">
      <c r="A42" s="95"/>
      <c r="B42" s="3608" t="s">
        <v>429</v>
      </c>
      <c r="C42" s="3609"/>
      <c r="D42" s="3637"/>
      <c r="E42" s="3550" t="s">
        <v>7667</v>
      </c>
      <c r="F42" s="3551"/>
      <c r="G42" s="3551"/>
      <c r="H42" s="3552"/>
      <c r="I42" s="3638">
        <v>4150000</v>
      </c>
      <c r="J42" s="3639"/>
      <c r="K42" s="2663">
        <v>7.2499999999999995E-2</v>
      </c>
      <c r="L42" s="2653">
        <v>18</v>
      </c>
      <c r="M42" s="2653">
        <v>40</v>
      </c>
      <c r="N42" s="3640" t="s">
        <v>7669</v>
      </c>
      <c r="O42" s="3641"/>
      <c r="P42" s="3642">
        <f>IF(OR(I42&lt;=0,I42=""),"",IF(N42="Cash Flow",0,IF(N42="Amortizing",-PMT(K42/12,M42*12,I42,0,0)*12,"")))</f>
        <v>318556.61698247807</v>
      </c>
      <c r="Q42" s="3643"/>
      <c r="S42" s="3562"/>
      <c r="T42" s="3563"/>
      <c r="Y42" s="1741" t="s">
        <v>428</v>
      </c>
      <c r="Z42" s="1809">
        <v>42</v>
      </c>
      <c r="AZ42" s="1128" t="s">
        <v>430</v>
      </c>
    </row>
    <row r="43" spans="1:52" s="135" customFormat="1" ht="15" customHeight="1">
      <c r="A43" s="95"/>
      <c r="B43" s="3590" t="s">
        <v>431</v>
      </c>
      <c r="C43" s="3591"/>
      <c r="D43" s="3630"/>
      <c r="E43" s="3553"/>
      <c r="F43" s="3554"/>
      <c r="G43" s="3554"/>
      <c r="H43" s="3555"/>
      <c r="I43" s="3631"/>
      <c r="J43" s="3632"/>
      <c r="K43" s="479"/>
      <c r="L43" s="602"/>
      <c r="M43" s="602"/>
      <c r="N43" s="3633"/>
      <c r="O43" s="3634"/>
      <c r="P43" s="3635" t="str">
        <f>IF(OR(I43&lt;=0,I43=""),"",IF(N43="Cash Flow",0,IF(N43="Amortizing",-PMT(K43/12,M43*12,I43,0,0)*12,"")))</f>
        <v/>
      </c>
      <c r="Q43" s="3636"/>
      <c r="S43" s="3564"/>
      <c r="T43" s="3565"/>
      <c r="Y43" s="1741" t="s">
        <v>430</v>
      </c>
      <c r="Z43" s="1809">
        <v>43</v>
      </c>
      <c r="AZ43" s="1128" t="s">
        <v>432</v>
      </c>
    </row>
    <row r="44" spans="1:52" s="135" customFormat="1" ht="15" customHeight="1">
      <c r="A44" s="95"/>
      <c r="B44" s="3590" t="s">
        <v>433</v>
      </c>
      <c r="C44" s="3591"/>
      <c r="D44" s="3630"/>
      <c r="E44" s="3553"/>
      <c r="F44" s="3554"/>
      <c r="G44" s="3554"/>
      <c r="H44" s="3555"/>
      <c r="I44" s="3631"/>
      <c r="J44" s="3632"/>
      <c r="K44" s="479"/>
      <c r="L44" s="602"/>
      <c r="M44" s="602"/>
      <c r="N44" s="3633"/>
      <c r="O44" s="3634"/>
      <c r="P44" s="3635" t="str">
        <f>IF(OR(I44&lt;=0,I44=""),"",IF(N44="Cash Flow",0,IF(N44="Amortizing",-PMT(K44/12,M44*12,I44,0,0)*12,"")))</f>
        <v/>
      </c>
      <c r="Q44" s="3636"/>
      <c r="S44" s="3564"/>
      <c r="T44" s="3565"/>
      <c r="Y44" s="1741" t="s">
        <v>432</v>
      </c>
      <c r="Z44" s="1809">
        <v>44</v>
      </c>
      <c r="AZ44" s="1128" t="s">
        <v>434</v>
      </c>
    </row>
    <row r="45" spans="1:52" s="135" customFormat="1" ht="15" customHeight="1">
      <c r="A45" s="95"/>
      <c r="B45" s="2514" t="s">
        <v>435</v>
      </c>
      <c r="C45" s="3644"/>
      <c r="D45" s="3645"/>
      <c r="E45" s="3553"/>
      <c r="F45" s="3554"/>
      <c r="G45" s="3554"/>
      <c r="H45" s="3555"/>
      <c r="I45" s="3631"/>
      <c r="J45" s="3632"/>
      <c r="K45" s="480"/>
      <c r="L45" s="601"/>
      <c r="M45" s="601"/>
      <c r="N45" s="3646"/>
      <c r="O45" s="3647"/>
      <c r="P45" s="3648" t="str">
        <f>IF(OR(I45&lt;=0,I45=""),"",IF(N45="Cash Flow",0,IF(N45="Amortizing",-PMT(K45/12,M45*12,I45,0,0)*12,"")))</f>
        <v/>
      </c>
      <c r="Q45" s="3649"/>
      <c r="S45" s="3564"/>
      <c r="T45" s="3565"/>
      <c r="Y45" s="1741" t="s">
        <v>434</v>
      </c>
      <c r="Z45" s="1809">
        <v>45</v>
      </c>
      <c r="AZ45" s="1128" t="s">
        <v>436</v>
      </c>
    </row>
    <row r="46" spans="1:52" s="135" customFormat="1" ht="15" customHeight="1">
      <c r="A46" s="95"/>
      <c r="B46" s="2514" t="s">
        <v>437</v>
      </c>
      <c r="C46" s="95"/>
      <c r="D46" s="2515"/>
      <c r="E46" s="3553"/>
      <c r="F46" s="3554"/>
      <c r="G46" s="3554"/>
      <c r="H46" s="3555"/>
      <c r="I46" s="3631"/>
      <c r="J46" s="3632"/>
      <c r="K46" s="2664"/>
      <c r="L46" s="2665"/>
      <c r="M46" s="2665"/>
      <c r="N46" s="3650"/>
      <c r="O46" s="3650"/>
      <c r="P46" s="3651"/>
      <c r="Q46" s="3651"/>
      <c r="S46" s="3564"/>
      <c r="T46" s="3565"/>
      <c r="Y46" s="1741" t="s">
        <v>436</v>
      </c>
      <c r="Z46" s="1809">
        <v>46</v>
      </c>
      <c r="AZ46" s="1128" t="s">
        <v>438</v>
      </c>
    </row>
    <row r="47" spans="1:52" s="135" customFormat="1" ht="15" customHeight="1">
      <c r="A47" s="95"/>
      <c r="B47" s="2522" t="s">
        <v>439</v>
      </c>
      <c r="C47" s="2523"/>
      <c r="D47" s="2666">
        <f>IF(OR(I47="",I47=0,'Part III-A-Uses of Funds'!$G$127="",'Part III-A-Uses of Funds'!$G$127=0),"",I47/'Part III-A-Uses of Funds'!$G$127)</f>
        <v>1.3817105263157894E-2</v>
      </c>
      <c r="E47" s="3556" t="s">
        <v>7662</v>
      </c>
      <c r="F47" s="3557"/>
      <c r="G47" s="3557"/>
      <c r="H47" s="3558"/>
      <c r="I47" s="3652">
        <v>31503</v>
      </c>
      <c r="J47" s="3653"/>
      <c r="K47" s="2667">
        <v>0</v>
      </c>
      <c r="L47" s="2655">
        <v>15</v>
      </c>
      <c r="M47" s="2655"/>
      <c r="N47" s="3403" t="s">
        <v>1413</v>
      </c>
      <c r="O47" s="3404"/>
      <c r="P47" s="3654">
        <f>IF(OR(I47&lt;=0,I47=""),"",IF(N47="Cash Flow",0,IF(N47="Amortizing",-PMT(K47/12,M47*12,I47,0,0)*12,"")))</f>
        <v>0</v>
      </c>
      <c r="Q47" s="3655"/>
      <c r="S47" s="3564"/>
      <c r="T47" s="3565"/>
      <c r="Y47" s="1741" t="s">
        <v>438</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564"/>
      <c r="T48" s="3565"/>
      <c r="Y48" s="1741"/>
      <c r="Z48" s="1809">
        <v>48</v>
      </c>
      <c r="AZ48" s="1128"/>
    </row>
    <row r="49" spans="1:52" s="135" customFormat="1" ht="15" customHeight="1">
      <c r="A49" s="95"/>
      <c r="B49" s="135" t="s">
        <v>440</v>
      </c>
      <c r="C49" s="95"/>
      <c r="E49" s="135" t="s">
        <v>441</v>
      </c>
      <c r="F49" s="3656">
        <f>IF(OR($I$47="",$I$47=0,'Part VI-Pro Forma'!$S$35=0,'Part VI-Pro Forma'!$S$35=""),"",VLOOKUP($L$47,'Part VI-Pro Forma'!$Q$21:$S$40,3))</f>
        <v>1329829.2221587377</v>
      </c>
      <c r="G49" s="3657"/>
      <c r="H49" s="341" t="s">
        <v>442</v>
      </c>
      <c r="I49" s="3656">
        <f>IF(OR($I$47="",$I$47=0,'Part VI-Pro Forma'!$R$35=0,'Part VI-Pro Forma'!$R$35=""),"",VLOOKUP($L$47,'Part VI-Pro Forma'!$Q$21:$S$35,2))</f>
        <v>31503</v>
      </c>
      <c r="J49" s="3657"/>
      <c r="K49" s="341" t="s">
        <v>443</v>
      </c>
      <c r="L49" s="3658">
        <f>IF(OR($F$49 = 0,$F$49 =""),"",$I$49/$F$49)</f>
        <v>2.3689508002283605E-2</v>
      </c>
      <c r="M49" s="3659"/>
      <c r="N49" s="3660" t="s">
        <v>444</v>
      </c>
      <c r="O49" s="3661"/>
      <c r="P49" s="3662">
        <f>IF(OR($I$64=0,$I$62&gt;$I$63),0,ABS($I$62-$I$63))</f>
        <v>0</v>
      </c>
      <c r="Q49" s="3663"/>
      <c r="S49" s="3564"/>
      <c r="T49" s="3565"/>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566"/>
      <c r="T50" s="3567"/>
      <c r="Y50" s="1741"/>
      <c r="Z50" s="1809">
        <v>50</v>
      </c>
      <c r="AZ50" s="1128" t="s">
        <v>445</v>
      </c>
    </row>
    <row r="51" spans="1:52" s="135" customFormat="1" ht="15" customHeight="1">
      <c r="A51" s="95"/>
      <c r="B51" s="3608" t="s">
        <v>403</v>
      </c>
      <c r="C51" s="3609"/>
      <c r="D51" s="3637"/>
      <c r="E51" s="3550"/>
      <c r="F51" s="3551"/>
      <c r="G51" s="3551"/>
      <c r="H51" s="3552"/>
      <c r="I51" s="3638"/>
      <c r="J51" s="3639"/>
      <c r="K51" s="95"/>
      <c r="L51" s="95"/>
      <c r="M51" s="95"/>
      <c r="N51" s="95"/>
      <c r="O51" s="95"/>
      <c r="P51" s="2517" t="s">
        <v>446</v>
      </c>
      <c r="Q51" s="95"/>
      <c r="S51" s="3562"/>
      <c r="T51" s="3563"/>
      <c r="Y51" s="1741" t="s">
        <v>445</v>
      </c>
      <c r="Z51" s="1809">
        <v>51</v>
      </c>
      <c r="AZ51" s="1128" t="s">
        <v>447</v>
      </c>
    </row>
    <row r="52" spans="1:52" s="135" customFormat="1" ht="15" customHeight="1">
      <c r="A52" s="95"/>
      <c r="B52" s="3590" t="s">
        <v>405</v>
      </c>
      <c r="C52" s="3591"/>
      <c r="D52" s="3630"/>
      <c r="E52" s="3553"/>
      <c r="F52" s="3554"/>
      <c r="G52" s="3554"/>
      <c r="H52" s="3555"/>
      <c r="I52" s="3631"/>
      <c r="J52" s="3632"/>
      <c r="L52" s="3664" t="s">
        <v>448</v>
      </c>
      <c r="M52" s="3664"/>
      <c r="N52" s="3665" t="s">
        <v>449</v>
      </c>
      <c r="O52" s="3665"/>
      <c r="P52" s="2516" t="s">
        <v>450</v>
      </c>
      <c r="Q52" s="95"/>
      <c r="S52" s="3564"/>
      <c r="T52" s="3565"/>
      <c r="Y52" s="1741" t="s">
        <v>447</v>
      </c>
      <c r="Z52" s="1809">
        <v>52</v>
      </c>
      <c r="AZ52" s="1128" t="s">
        <v>451</v>
      </c>
    </row>
    <row r="53" spans="1:52" s="135" customFormat="1" ht="15" customHeight="1">
      <c r="A53" s="95"/>
      <c r="B53" s="3590" t="s">
        <v>409</v>
      </c>
      <c r="C53" s="3591"/>
      <c r="D53" s="3630"/>
      <c r="E53" s="3553" t="s">
        <v>7668</v>
      </c>
      <c r="F53" s="3554"/>
      <c r="G53" s="3554"/>
      <c r="H53" s="3555"/>
      <c r="I53" s="3631">
        <v>10527894</v>
      </c>
      <c r="J53" s="3632"/>
      <c r="L53" s="3666">
        <f>'Part III-A-Uses of Funds'!$J$192*10*'Part III-A-Uses of Funds'!$N$183</f>
        <v>10530000</v>
      </c>
      <c r="M53" s="3666"/>
      <c r="N53" s="3667">
        <f>I53-L53</f>
        <v>-2106</v>
      </c>
      <c r="O53" s="3667"/>
      <c r="P53" s="224">
        <f>I53/I63</f>
        <v>0.51319263972563411</v>
      </c>
      <c r="Q53" s="95"/>
      <c r="S53" s="3564"/>
      <c r="T53" s="3565"/>
      <c r="Y53" s="1741" t="s">
        <v>451</v>
      </c>
      <c r="Z53" s="1809">
        <v>53</v>
      </c>
      <c r="AZ53" s="1128" t="s">
        <v>452</v>
      </c>
    </row>
    <row r="54" spans="1:52" s="135" customFormat="1" ht="15" customHeight="1">
      <c r="A54" s="95"/>
      <c r="B54" s="3590" t="s">
        <v>411</v>
      </c>
      <c r="C54" s="3591"/>
      <c r="D54" s="3630"/>
      <c r="E54" s="3553" t="s">
        <v>7668</v>
      </c>
      <c r="F54" s="3554"/>
      <c r="G54" s="3554"/>
      <c r="H54" s="3555"/>
      <c r="I54" s="3631">
        <v>5805000</v>
      </c>
      <c r="J54" s="3632"/>
      <c r="L54" s="3666">
        <f>'Part III-A-Uses of Funds'!$J$192*10*'Part III-A-Uses of Funds'!$Q$183</f>
        <v>5805000</v>
      </c>
      <c r="M54" s="3666"/>
      <c r="N54" s="3667">
        <f>I54-L54</f>
        <v>0</v>
      </c>
      <c r="O54" s="3667"/>
      <c r="P54" s="224">
        <f>I54/I63</f>
        <v>0.2829704852278439</v>
      </c>
      <c r="Q54" s="95"/>
      <c r="S54" s="3564"/>
      <c r="T54" s="3565"/>
      <c r="Y54" s="1741" t="s">
        <v>452</v>
      </c>
      <c r="Z54" s="1809">
        <v>54</v>
      </c>
      <c r="AZ54" s="1128" t="s">
        <v>453</v>
      </c>
    </row>
    <row r="55" spans="1:52" s="135" customFormat="1" ht="15" customHeight="1">
      <c r="A55" s="95"/>
      <c r="B55" s="3590" t="s">
        <v>454</v>
      </c>
      <c r="C55" s="3591"/>
      <c r="D55" s="3630"/>
      <c r="E55" s="3553"/>
      <c r="F55" s="3554"/>
      <c r="G55" s="3554"/>
      <c r="H55" s="3555"/>
      <c r="I55" s="3631"/>
      <c r="J55" s="3632"/>
      <c r="P55" s="2668">
        <f>SUM(P53:P54)</f>
        <v>0.79616312495347796</v>
      </c>
      <c r="Q55" s="95"/>
      <c r="S55" s="3566"/>
      <c r="T55" s="3567"/>
      <c r="Y55" s="1741" t="s">
        <v>453</v>
      </c>
      <c r="Z55" s="1809">
        <v>55</v>
      </c>
      <c r="AZ55" s="1128"/>
    </row>
    <row r="56" spans="1:52" s="135" customFormat="1" ht="15" customHeight="1">
      <c r="A56" s="95"/>
      <c r="B56" s="2514" t="s">
        <v>455</v>
      </c>
      <c r="C56" s="95"/>
      <c r="D56" s="2515"/>
      <c r="E56" s="3553"/>
      <c r="F56" s="3554"/>
      <c r="G56" s="3554"/>
      <c r="H56" s="3555"/>
      <c r="I56" s="3631"/>
      <c r="J56" s="3632"/>
      <c r="K56" s="95"/>
      <c r="Q56" s="95"/>
      <c r="S56" s="3564"/>
      <c r="T56" s="3565"/>
      <c r="Y56" s="1741"/>
      <c r="Z56" s="1809">
        <v>56</v>
      </c>
      <c r="AZ56" s="1128"/>
    </row>
    <row r="57" spans="1:52" s="135" customFormat="1" ht="15" customHeight="1">
      <c r="A57" s="95"/>
      <c r="B57" s="2514" t="s">
        <v>456</v>
      </c>
      <c r="C57" s="95"/>
      <c r="D57" s="2515"/>
      <c r="E57" s="3553"/>
      <c r="F57" s="3554"/>
      <c r="G57" s="3554"/>
      <c r="H57" s="3555"/>
      <c r="I57" s="3631"/>
      <c r="J57" s="3632"/>
      <c r="N57" s="203"/>
      <c r="O57" s="203"/>
      <c r="P57" s="203"/>
      <c r="Q57" s="95"/>
      <c r="S57" s="3564"/>
      <c r="T57" s="3565"/>
      <c r="Y57" s="1741"/>
      <c r="Z57" s="1809">
        <v>57</v>
      </c>
      <c r="AZ57" s="1128"/>
    </row>
    <row r="58" spans="1:52" s="135" customFormat="1" ht="15" customHeight="1">
      <c r="A58" s="95"/>
      <c r="B58" s="2514" t="s">
        <v>457</v>
      </c>
      <c r="C58" s="95"/>
      <c r="D58" s="2515"/>
      <c r="E58" s="3553"/>
      <c r="F58" s="3554"/>
      <c r="G58" s="3554"/>
      <c r="H58" s="3555"/>
      <c r="I58" s="3631"/>
      <c r="J58" s="3632"/>
      <c r="M58" s="203"/>
      <c r="N58" s="203"/>
      <c r="O58" s="203"/>
      <c r="P58" s="203"/>
      <c r="Q58" s="95"/>
      <c r="S58" s="3564"/>
      <c r="T58" s="3565"/>
      <c r="Y58" s="1741"/>
      <c r="Z58" s="1809">
        <v>58</v>
      </c>
      <c r="AZ58" s="1128" t="s">
        <v>458</v>
      </c>
    </row>
    <row r="59" spans="1:52" s="135" customFormat="1" ht="15" customHeight="1">
      <c r="A59" s="95"/>
      <c r="B59" s="2514" t="s">
        <v>435</v>
      </c>
      <c r="C59" s="3550" t="s">
        <v>7670</v>
      </c>
      <c r="D59" s="3552"/>
      <c r="E59" s="3553"/>
      <c r="F59" s="3554"/>
      <c r="G59" s="3554"/>
      <c r="H59" s="3555"/>
      <c r="I59" s="3631">
        <v>110</v>
      </c>
      <c r="J59" s="3632"/>
      <c r="M59" s="203"/>
      <c r="N59" s="203"/>
      <c r="O59" s="203"/>
      <c r="P59" s="203"/>
      <c r="Q59" s="95"/>
      <c r="S59" s="3564"/>
      <c r="T59" s="3565"/>
      <c r="Y59" s="1741" t="s">
        <v>458</v>
      </c>
      <c r="Z59" s="1809">
        <v>59</v>
      </c>
      <c r="AZ59" s="1128" t="s">
        <v>459</v>
      </c>
    </row>
    <row r="60" spans="1:52" s="135" customFormat="1" ht="15" customHeight="1">
      <c r="A60" s="95"/>
      <c r="B60" s="2514" t="s">
        <v>435</v>
      </c>
      <c r="C60" s="3553"/>
      <c r="D60" s="3555"/>
      <c r="E60" s="3553"/>
      <c r="F60" s="3554"/>
      <c r="G60" s="3554"/>
      <c r="H60" s="3555"/>
      <c r="I60" s="3631"/>
      <c r="J60" s="3632"/>
      <c r="K60" s="95"/>
      <c r="L60" s="2517"/>
      <c r="M60" s="203"/>
      <c r="N60" s="203"/>
      <c r="O60" s="203"/>
      <c r="P60" s="203"/>
      <c r="Q60" s="95"/>
      <c r="S60" s="3564"/>
      <c r="T60" s="3565"/>
      <c r="Y60" s="1741" t="s">
        <v>459</v>
      </c>
      <c r="Z60" s="1809">
        <v>60</v>
      </c>
      <c r="AZ60" s="1128" t="s">
        <v>460</v>
      </c>
    </row>
    <row r="61" spans="1:52" s="135" customFormat="1" ht="15" customHeight="1">
      <c r="A61" s="95"/>
      <c r="B61" s="2522" t="s">
        <v>435</v>
      </c>
      <c r="C61" s="3556"/>
      <c r="D61" s="3558"/>
      <c r="E61" s="3556"/>
      <c r="F61" s="3557"/>
      <c r="G61" s="3557"/>
      <c r="H61" s="3558"/>
      <c r="I61" s="3669"/>
      <c r="J61" s="3670"/>
      <c r="K61" s="95"/>
      <c r="L61" s="2517"/>
      <c r="M61" s="203"/>
      <c r="N61" s="203"/>
      <c r="O61" s="203"/>
      <c r="P61" s="203"/>
      <c r="Q61" s="95"/>
      <c r="S61" s="3564"/>
      <c r="T61" s="3565"/>
      <c r="Y61" s="1741" t="s">
        <v>460</v>
      </c>
      <c r="Z61" s="1809">
        <v>61</v>
      </c>
      <c r="AZ61" s="1128"/>
    </row>
    <row r="62" spans="1:52" s="135" customFormat="1" ht="14.25" customHeight="1">
      <c r="A62" s="95"/>
      <c r="B62" s="153" t="s">
        <v>461</v>
      </c>
      <c r="C62" s="95"/>
      <c r="D62" s="95"/>
      <c r="E62" s="95"/>
      <c r="F62" s="95"/>
      <c r="G62" s="95"/>
      <c r="I62" s="3671">
        <f>SUM(I42:J47)+SUM(I51:J61)</f>
        <v>20514507</v>
      </c>
      <c r="J62" s="3672"/>
      <c r="K62" s="95"/>
      <c r="L62" s="2517"/>
      <c r="M62" s="203"/>
      <c r="N62" s="203"/>
      <c r="O62" s="203"/>
      <c r="P62" s="203"/>
      <c r="Q62" s="95"/>
      <c r="S62" s="3564"/>
      <c r="T62" s="3565"/>
      <c r="Y62" s="1741"/>
      <c r="Z62" s="1809">
        <v>62</v>
      </c>
      <c r="AZ62" s="1128"/>
    </row>
    <row r="63" spans="1:52" s="135" customFormat="1" ht="14.25" customHeight="1" thickBot="1">
      <c r="A63" s="95"/>
      <c r="B63" s="153" t="s">
        <v>462</v>
      </c>
      <c r="C63" s="95"/>
      <c r="D63" s="95"/>
      <c r="E63" s="95"/>
      <c r="F63" s="95"/>
      <c r="G63" s="95"/>
      <c r="I63" s="3673">
        <f>'Part III-A-Uses of Funds'!$G$147</f>
        <v>20514507</v>
      </c>
      <c r="J63" s="3674"/>
      <c r="K63" s="95"/>
      <c r="L63" s="2517"/>
      <c r="M63" s="203"/>
      <c r="N63" s="203"/>
      <c r="O63" s="203"/>
      <c r="P63" s="203"/>
      <c r="Q63" s="95"/>
      <c r="S63" s="3564"/>
      <c r="T63" s="3565"/>
      <c r="Y63" s="1741"/>
      <c r="Z63" s="1809">
        <v>63</v>
      </c>
      <c r="AZ63" s="1128"/>
    </row>
    <row r="64" spans="1:52" s="135" customFormat="1" ht="14.25" customHeight="1" thickBot="1">
      <c r="A64" s="95"/>
      <c r="B64" s="153" t="s">
        <v>463</v>
      </c>
      <c r="C64" s="95"/>
      <c r="D64" s="95"/>
      <c r="E64" s="95"/>
      <c r="F64" s="95"/>
      <c r="G64" s="95"/>
      <c r="I64" s="3675">
        <f>I62-I63</f>
        <v>0</v>
      </c>
      <c r="J64" s="3676"/>
      <c r="K64" s="95"/>
      <c r="L64" s="2517"/>
      <c r="M64" s="203"/>
      <c r="N64" s="203"/>
      <c r="O64" s="203"/>
      <c r="P64" s="203"/>
      <c r="Q64" s="95"/>
      <c r="S64" s="3566"/>
      <c r="T64" s="3567"/>
      <c r="Y64" s="1741"/>
      <c r="Z64" s="1809">
        <v>64</v>
      </c>
      <c r="AZ64" s="1128"/>
    </row>
    <row r="65" spans="1:52" s="135" customFormat="1" ht="13.35" customHeight="1">
      <c r="A65" s="95" t="s">
        <v>464</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43</v>
      </c>
      <c r="B67" s="151" t="s">
        <v>67</v>
      </c>
      <c r="C67" s="96"/>
      <c r="D67" s="96"/>
      <c r="E67" s="96"/>
      <c r="F67" s="96"/>
      <c r="G67" s="96"/>
      <c r="H67" s="96"/>
      <c r="I67" s="96"/>
      <c r="J67" s="96"/>
      <c r="M67" s="151" t="s">
        <v>43</v>
      </c>
      <c r="N67" s="151" t="s">
        <v>69</v>
      </c>
      <c r="O67" s="96"/>
      <c r="P67" s="96"/>
      <c r="Q67" s="96"/>
      <c r="Z67" s="1809">
        <v>67</v>
      </c>
      <c r="AZ67" s="1130"/>
    </row>
    <row r="68" spans="1:52" ht="141" customHeight="1">
      <c r="A68" s="3437"/>
      <c r="B68" s="3438"/>
      <c r="C68" s="3438"/>
      <c r="D68" s="3438"/>
      <c r="E68" s="3438"/>
      <c r="F68" s="3438"/>
      <c r="G68" s="3438"/>
      <c r="H68" s="3438"/>
      <c r="I68" s="3438"/>
      <c r="J68" s="3438"/>
      <c r="K68" s="3438"/>
      <c r="L68" s="3439"/>
      <c r="M68" s="3440"/>
      <c r="N68" s="3441"/>
      <c r="O68" s="3441"/>
      <c r="P68" s="3441"/>
      <c r="Q68" s="3442"/>
      <c r="S68" s="3668" t="s">
        <v>288</v>
      </c>
      <c r="T68" s="3668"/>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85" customHeight="1">
      <c r="Z72" s="1809">
        <v>72</v>
      </c>
      <c r="AZ72" s="1128"/>
    </row>
    <row r="73" spans="1:52" s="135" customFormat="1" ht="14.85" customHeight="1">
      <c r="Y73" s="1741"/>
      <c r="Z73" s="1809">
        <v>73</v>
      </c>
      <c r="AZ73" s="1128"/>
    </row>
    <row r="74" spans="1:52" s="135" customFormat="1" ht="14.85" customHeight="1">
      <c r="Y74" s="1741"/>
      <c r="Z74" s="1809">
        <v>74</v>
      </c>
      <c r="AZ74" s="1128"/>
    </row>
    <row r="75" spans="1:52" s="135" customFormat="1" ht="14.85" customHeight="1">
      <c r="Y75" s="1741"/>
      <c r="Z75" s="1811"/>
      <c r="AZ75" s="1127"/>
    </row>
    <row r="76" spans="1:52" ht="14.85" customHeight="1">
      <c r="AZ76" s="1128"/>
    </row>
    <row r="77" spans="1:52" s="135" customFormat="1" ht="14.85" customHeight="1">
      <c r="A77" s="181"/>
      <c r="Y77" s="1741"/>
      <c r="Z77" s="1811"/>
      <c r="AZ77" s="1128"/>
    </row>
    <row r="78" spans="1:52" s="135" customFormat="1" ht="14.85" customHeight="1">
      <c r="A78" s="181"/>
      <c r="Y78" s="1741"/>
      <c r="Z78" s="1811"/>
      <c r="AZ78" s="1128"/>
    </row>
    <row r="79" spans="1:52" s="135" customFormat="1" ht="14.85" customHeight="1">
      <c r="Y79" s="1741"/>
      <c r="Z79" s="1811"/>
      <c r="AZ79" s="1128"/>
    </row>
    <row r="80" spans="1:52" s="135" customFormat="1" ht="14.85" customHeight="1">
      <c r="A80" s="181"/>
      <c r="Y80" s="1741"/>
      <c r="Z80" s="1811"/>
      <c r="AZ80" s="1128"/>
    </row>
    <row r="81" spans="1:52" s="135" customFormat="1" ht="14.85" customHeight="1">
      <c r="A81" s="179"/>
      <c r="Y81" s="1741"/>
      <c r="Z81" s="1811"/>
      <c r="AZ81" s="1128"/>
    </row>
    <row r="82" spans="1:52" s="135" customFormat="1" ht="14.85" customHeight="1">
      <c r="A82" s="179"/>
      <c r="Y82" s="1741"/>
      <c r="Z82" s="1811"/>
      <c r="AZ82" s="1128"/>
    </row>
    <row r="83" spans="1:52" s="135" customFormat="1" ht="14.85" customHeight="1">
      <c r="A83" s="182"/>
      <c r="Y83" s="1741"/>
      <c r="Z83" s="1811"/>
      <c r="AZ83" s="1128"/>
    </row>
    <row r="84" spans="1:52" s="135" customFormat="1" ht="14.85" customHeight="1">
      <c r="A84" s="181"/>
      <c r="Y84" s="1741"/>
      <c r="Z84" s="1811"/>
      <c r="AZ84" s="1128"/>
    </row>
    <row r="85" spans="1:52" s="135" customFormat="1" ht="14.85" customHeight="1">
      <c r="A85" s="179"/>
      <c r="Y85" s="1741"/>
      <c r="Z85" s="1811"/>
      <c r="AZ85" s="1128"/>
    </row>
    <row r="86" spans="1:52" s="135" customFormat="1" ht="14.85" customHeight="1">
      <c r="A86" s="179"/>
      <c r="Y86" s="1741"/>
      <c r="Z86" s="1811"/>
      <c r="AZ86" s="1128"/>
    </row>
    <row r="87" spans="1:52" s="135" customFormat="1" ht="14.85" customHeight="1">
      <c r="A87" s="182"/>
      <c r="Y87" s="1741"/>
      <c r="Z87" s="1811"/>
      <c r="AZ87" s="1128"/>
    </row>
    <row r="88" spans="1:52" s="135" customFormat="1" ht="14.85" customHeight="1">
      <c r="A88" s="181"/>
      <c r="Y88" s="1741"/>
      <c r="Z88" s="1811"/>
      <c r="AZ88" s="1128"/>
    </row>
    <row r="89" spans="1:52" s="135" customFormat="1" ht="14.85" customHeight="1">
      <c r="A89" s="179"/>
      <c r="Y89" s="1741"/>
      <c r="Z89" s="1811"/>
      <c r="AZ89" s="1128"/>
    </row>
    <row r="90" spans="1:52" s="135" customFormat="1" ht="14.85" customHeight="1">
      <c r="A90" s="179"/>
      <c r="Y90" s="1741"/>
      <c r="Z90" s="1811"/>
      <c r="AZ90" s="1128"/>
    </row>
    <row r="91" spans="1:52" s="135" customFormat="1" ht="14.85" customHeight="1">
      <c r="A91" s="182"/>
      <c r="Y91" s="1741"/>
      <c r="Z91" s="1811"/>
      <c r="AZ91" s="1128"/>
    </row>
    <row r="92" spans="1:52" s="135" customFormat="1" ht="14.85" customHeight="1">
      <c r="A92" s="182"/>
      <c r="Y92" s="1741"/>
      <c r="Z92" s="1811"/>
      <c r="AZ92" s="1128"/>
    </row>
    <row r="93" spans="1:52" s="135" customFormat="1" ht="14.85" customHeight="1">
      <c r="A93" s="182"/>
      <c r="Y93" s="1741"/>
      <c r="Z93" s="1811"/>
      <c r="AZ93" s="1128"/>
    </row>
    <row r="94" spans="1:52" s="135" customFormat="1" ht="14.85" customHeight="1">
      <c r="A94" s="182"/>
      <c r="Y94" s="1741"/>
      <c r="Z94" s="1811"/>
      <c r="AZ94" s="1128"/>
    </row>
    <row r="95" spans="1:52" s="135" customFormat="1" ht="14.85" customHeight="1">
      <c r="Y95" s="1741"/>
      <c r="Z95" s="1811"/>
      <c r="AZ95" s="1128"/>
    </row>
    <row r="96" spans="1:52" s="135" customFormat="1" ht="14.85" customHeight="1">
      <c r="Y96" s="1741"/>
      <c r="Z96" s="1811"/>
      <c r="AZ96" s="1127"/>
    </row>
    <row r="97" spans="11:14" ht="14.85" customHeight="1"/>
    <row r="98" spans="11:14" ht="14.85" customHeight="1"/>
    <row r="99" spans="11:14" ht="14.85" customHeight="1"/>
    <row r="100" spans="11:14" ht="14.85" customHeight="1"/>
    <row r="101" spans="11:14" ht="14.85" customHeight="1"/>
    <row r="102" spans="11:14" ht="14.85" customHeight="1"/>
    <row r="103" spans="11:14" ht="14.85" customHeight="1">
      <c r="K103" s="95"/>
      <c r="L103" s="135"/>
      <c r="M103" s="135"/>
      <c r="N103" s="135"/>
    </row>
    <row r="104" spans="11:14" ht="14.85" customHeight="1"/>
    <row r="105" spans="11:14" ht="14.85" customHeight="1"/>
    <row r="106" spans="11:14" ht="14.85" customHeight="1"/>
    <row r="107" spans="11:14" ht="14.85" customHeight="1"/>
    <row r="108" spans="11:14" ht="14.85" customHeight="1"/>
    <row r="109" spans="11:14" ht="14.85" customHeight="1"/>
    <row r="110" spans="11:14" ht="14.85" customHeight="1"/>
    <row r="111" spans="11:14" ht="14.85" customHeight="1"/>
  </sheetData>
  <sheetProtection algorithmName="SHA-512" hashValue="27mpemuLEagcAM9vYA05Q5wI4/O/6s9gY35xL/7sPpAvA0yM+SWUXpauyH8feGxyKlbNn0ZimrsmRIYdo7Ue2Q==" saltValue="TZnx1urbKCADoaSPw4+53Q==" spinCount="100000" sheet="1" objects="1" scenarios="1" formatRows="0"/>
  <mergeCells count="1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47:H47"/>
    <mergeCell ref="I47:J47"/>
    <mergeCell ref="N47:O47"/>
    <mergeCell ref="P47:Q47"/>
    <mergeCell ref="S48:T50"/>
    <mergeCell ref="F49:G49"/>
    <mergeCell ref="I49:J49"/>
    <mergeCell ref="L49:M49"/>
    <mergeCell ref="N49:O49"/>
    <mergeCell ref="P49:Q49"/>
    <mergeCell ref="S42:T47"/>
    <mergeCell ref="P43:Q43"/>
    <mergeCell ref="C45:D45"/>
    <mergeCell ref="E45:H45"/>
    <mergeCell ref="I45:J45"/>
    <mergeCell ref="N45:O45"/>
    <mergeCell ref="P45:Q45"/>
    <mergeCell ref="E46:H46"/>
    <mergeCell ref="I46:J46"/>
    <mergeCell ref="N46:O46"/>
    <mergeCell ref="P46:Q46"/>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27:D27"/>
    <mergeCell ref="L27:M27"/>
    <mergeCell ref="N27:O27"/>
    <mergeCell ref="P27:Q27"/>
    <mergeCell ref="B28:D28"/>
    <mergeCell ref="L28:M28"/>
    <mergeCell ref="N28:O28"/>
    <mergeCell ref="P28:Q28"/>
    <mergeCell ref="B31:D31"/>
    <mergeCell ref="L31:M31"/>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G23:K23"/>
    <mergeCell ref="G27:K27"/>
    <mergeCell ref="G24:K24"/>
    <mergeCell ref="G25:K25"/>
    <mergeCell ref="G26:K26"/>
    <mergeCell ref="G28:K28"/>
    <mergeCell ref="G29:K29"/>
    <mergeCell ref="G30:K30"/>
    <mergeCell ref="G31:K31"/>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85546875" defaultRowHeight="12.75"/>
  <cols>
    <col min="1" max="1" width="17.85546875" customWidth="1"/>
    <col min="2" max="5" width="16.85546875" customWidth="1"/>
    <col min="6" max="6" width="4.85546875" bestFit="1" customWidth="1"/>
    <col min="7" max="7" width="11.140625" customWidth="1"/>
    <col min="8" max="8" width="12.140625" bestFit="1" customWidth="1"/>
    <col min="9" max="9" width="12.42578125" bestFit="1" customWidth="1"/>
    <col min="10" max="10" width="11.85546875" bestFit="1" customWidth="1"/>
    <col min="11" max="11" width="15.140625" bestFit="1" customWidth="1"/>
  </cols>
  <sheetData>
    <row r="1" spans="1:17" s="4" customFormat="1" ht="16.350000000000001" customHeight="1">
      <c r="A1" s="3677" t="e">
        <f>CONCATENATE("PART III B: USD 538 LOAN","  -  ",#REF!," ",#REF!,", ",#REF!,", ",#REF!," County")</f>
        <v>#REF!</v>
      </c>
      <c r="B1" s="3678"/>
      <c r="C1" s="3678"/>
      <c r="D1" s="3678"/>
      <c r="E1" s="3678"/>
      <c r="F1" s="3679"/>
      <c r="G1" s="91"/>
      <c r="H1" s="91"/>
      <c r="I1" s="91"/>
      <c r="J1" s="91"/>
      <c r="K1" s="91"/>
      <c r="L1" s="91"/>
      <c r="M1" s="91"/>
      <c r="N1" s="91"/>
      <c r="O1" s="91"/>
      <c r="P1" s="91"/>
      <c r="Q1" s="91"/>
    </row>
    <row r="2" spans="1:17" ht="11.1" customHeight="1">
      <c r="A2" s="108"/>
      <c r="B2" s="108"/>
      <c r="C2" s="108"/>
      <c r="D2" s="108"/>
      <c r="E2" s="108"/>
      <c r="F2" s="108"/>
      <c r="G2" s="108"/>
      <c r="H2" s="108"/>
    </row>
    <row r="3" spans="1:17" ht="14.85" customHeight="1">
      <c r="A3" s="3685" t="s">
        <v>465</v>
      </c>
      <c r="B3" s="3685"/>
      <c r="C3" s="3685"/>
      <c r="D3" s="3685"/>
      <c r="E3" s="3685"/>
      <c r="F3" s="3685"/>
      <c r="G3" s="108"/>
      <c r="H3" s="108"/>
    </row>
    <row r="4" spans="1:17" ht="6" customHeight="1"/>
    <row r="5" spans="1:17">
      <c r="A5" s="11" t="s">
        <v>466</v>
      </c>
      <c r="B5" s="11"/>
      <c r="C5" s="2669"/>
      <c r="D5" s="2330">
        <f>IF(C5&gt;1500000,1500000,0)</f>
        <v>0</v>
      </c>
      <c r="E5" s="2331">
        <f>IF(C5&gt;1500000,C5-1500000,0)</f>
        <v>0</v>
      </c>
    </row>
    <row r="6" spans="1:17">
      <c r="A6" s="11" t="s">
        <v>467</v>
      </c>
      <c r="B6" s="48" t="s">
        <v>468</v>
      </c>
      <c r="C6" s="132">
        <v>0</v>
      </c>
      <c r="D6" s="13" t="s">
        <v>469</v>
      </c>
      <c r="E6" s="11"/>
    </row>
    <row r="7" spans="1:17">
      <c r="A7" s="11"/>
      <c r="B7" s="48" t="s">
        <v>470</v>
      </c>
      <c r="C7" s="2670"/>
      <c r="D7" s="13" t="s">
        <v>471</v>
      </c>
      <c r="E7" s="11"/>
    </row>
    <row r="8" spans="1:17" ht="13.35" customHeight="1">
      <c r="A8" s="11" t="s">
        <v>472</v>
      </c>
      <c r="B8" s="11"/>
      <c r="C8" s="132">
        <v>0</v>
      </c>
      <c r="D8" s="13" t="s">
        <v>473</v>
      </c>
      <c r="E8" s="11"/>
    </row>
    <row r="9" spans="1:17">
      <c r="A9" s="11" t="s">
        <v>474</v>
      </c>
      <c r="B9" s="11"/>
      <c r="C9" s="2671"/>
      <c r="D9" s="11"/>
      <c r="E9" s="11"/>
    </row>
    <row r="10" spans="1:17">
      <c r="A10" s="11" t="s">
        <v>475</v>
      </c>
      <c r="B10" s="11"/>
      <c r="C10" s="2671"/>
      <c r="D10" s="11"/>
      <c r="E10" s="11"/>
    </row>
    <row r="11" spans="1:17">
      <c r="A11" s="11" t="s">
        <v>476</v>
      </c>
      <c r="B11" s="11"/>
      <c r="C11" s="133" t="e">
        <f>PMT(C7/12,C10*12,-C5,0,0)*12</f>
        <v>#NUM!</v>
      </c>
      <c r="D11" s="2330" t="e">
        <f>PMT($C$7/12,$C$10*12,-D5,0,0)*12</f>
        <v>#NUM!</v>
      </c>
      <c r="E11" s="2330" t="e">
        <f>PMT($C$7/12,$C$10*12,-E5,0,0)*12</f>
        <v>#NUM!</v>
      </c>
    </row>
    <row r="12" spans="1:17">
      <c r="A12" s="11" t="s">
        <v>477</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686" t="s">
        <v>478</v>
      </c>
      <c r="B14" s="3686"/>
      <c r="C14" s="3686"/>
      <c r="D14" s="3686"/>
      <c r="E14" s="3686"/>
      <c r="F14" s="3686"/>
      <c r="G14" s="108"/>
      <c r="H14" s="108"/>
    </row>
    <row r="15" spans="1:17" ht="5.85" customHeight="1">
      <c r="A15" s="6"/>
      <c r="E15" s="115"/>
      <c r="F15" s="108"/>
      <c r="G15" s="108"/>
      <c r="H15" s="108"/>
    </row>
    <row r="16" spans="1:17" ht="13.35" customHeight="1">
      <c r="A16" s="116" t="s">
        <v>479</v>
      </c>
      <c r="B16" s="2529" t="s">
        <v>480</v>
      </c>
      <c r="C16" s="2529" t="s">
        <v>481</v>
      </c>
      <c r="D16" s="3683" t="s">
        <v>482</v>
      </c>
      <c r="E16" s="3683"/>
      <c r="F16" s="108"/>
      <c r="G16" s="108"/>
      <c r="H16" s="108"/>
    </row>
    <row r="17" spans="1:8" ht="12.6" customHeight="1">
      <c r="A17" s="34">
        <v>1</v>
      </c>
      <c r="B17" s="2332">
        <f>IF(A17&gt;$C$9,0,SUM(C64:C75)*($C$6/$C$7))</f>
        <v>0</v>
      </c>
      <c r="C17" s="2526">
        <f>IF(A17&gt;C9,0,(E63+K63)*$C$8)</f>
        <v>0</v>
      </c>
      <c r="D17" s="3687">
        <f t="shared" ref="D17:D56" si="0">IF(A17&gt;$C$9,0,$C$11+C17)</f>
        <v>0</v>
      </c>
      <c r="E17" s="3687"/>
      <c r="F17" s="108"/>
      <c r="G17" s="108"/>
      <c r="H17" s="108"/>
    </row>
    <row r="18" spans="1:8" ht="12.6" customHeight="1">
      <c r="A18" s="34">
        <v>2</v>
      </c>
      <c r="B18" s="2332">
        <f>IF(A18&gt;C9,0,SUM(C76:C87)*($C$6/$C$7))</f>
        <v>0</v>
      </c>
      <c r="C18" s="2526">
        <f>IF(A18&gt;C9,0,(E75+K75)*$C$8)</f>
        <v>0</v>
      </c>
      <c r="D18" s="3680">
        <f t="shared" si="0"/>
        <v>0</v>
      </c>
      <c r="E18" s="3680"/>
      <c r="F18" s="108"/>
      <c r="G18" s="108"/>
      <c r="H18" s="108"/>
    </row>
    <row r="19" spans="1:8" ht="12.6" customHeight="1">
      <c r="A19" s="34">
        <v>3</v>
      </c>
      <c r="B19" s="2332">
        <f>IF(A19&gt;C9,0,SUM(C88:C99)*($C$6/$C$7))</f>
        <v>0</v>
      </c>
      <c r="C19" s="2526">
        <f>IF(A19&gt;C9,0,(E87+K87)*$C$8)</f>
        <v>0</v>
      </c>
      <c r="D19" s="3680">
        <f t="shared" si="0"/>
        <v>0</v>
      </c>
      <c r="E19" s="3680"/>
      <c r="F19" s="108"/>
      <c r="G19" s="108"/>
      <c r="H19" s="108"/>
    </row>
    <row r="20" spans="1:8" ht="12.6" customHeight="1">
      <c r="A20" s="34">
        <v>4</v>
      </c>
      <c r="B20" s="2332">
        <f>IF(A20&gt;C9,0,SUM(C100:C111)*($C$6/$C$7))</f>
        <v>0</v>
      </c>
      <c r="C20" s="2526">
        <f>IF(A20&gt;C9,0,(E99+K99)*$C$8)</f>
        <v>0</v>
      </c>
      <c r="D20" s="3680">
        <f t="shared" si="0"/>
        <v>0</v>
      </c>
      <c r="E20" s="3680"/>
      <c r="F20" s="108"/>
      <c r="G20" s="108"/>
      <c r="H20" s="108"/>
    </row>
    <row r="21" spans="1:8" ht="12.6" customHeight="1">
      <c r="A21" s="34">
        <v>5</v>
      </c>
      <c r="B21" s="2332">
        <f>IF(A21&gt;C9,0,SUM(C112:C123)*($C$6/$C$7))</f>
        <v>0</v>
      </c>
      <c r="C21" s="2526">
        <f>IF(A21&gt;C9,0,(E111+K111)*$C$8)</f>
        <v>0</v>
      </c>
      <c r="D21" s="3681">
        <f t="shared" si="0"/>
        <v>0</v>
      </c>
      <c r="E21" s="3681"/>
      <c r="F21" s="108"/>
      <c r="G21" s="108"/>
      <c r="H21" s="108"/>
    </row>
    <row r="22" spans="1:8" ht="12.6" customHeight="1">
      <c r="A22" s="105">
        <v>6</v>
      </c>
      <c r="B22" s="2333">
        <f>IF(A22&gt;C9,0,SUM(C124:C135)*($C$6/$C$7))</f>
        <v>0</v>
      </c>
      <c r="C22" s="2528">
        <f>IF(A22&gt;C9,0,(E123+K123)*$C$8)</f>
        <v>0</v>
      </c>
      <c r="D22" s="3680">
        <f t="shared" si="0"/>
        <v>0</v>
      </c>
      <c r="E22" s="3680"/>
      <c r="F22" s="108"/>
      <c r="G22" s="108"/>
      <c r="H22" s="108"/>
    </row>
    <row r="23" spans="1:8" ht="12.6" customHeight="1">
      <c r="A23" s="34">
        <v>7</v>
      </c>
      <c r="B23" s="2332">
        <f>IF(A23&gt;C9,0,SUM(C136:C147)*($C$6/$C$7))</f>
        <v>0</v>
      </c>
      <c r="C23" s="2526">
        <f>IF(A23&gt;C9,0,(E135+K135)*$C$8)</f>
        <v>0</v>
      </c>
      <c r="D23" s="3680">
        <f t="shared" si="0"/>
        <v>0</v>
      </c>
      <c r="E23" s="3680"/>
      <c r="F23" s="108"/>
      <c r="G23" s="108"/>
      <c r="H23" s="108"/>
    </row>
    <row r="24" spans="1:8" ht="12.6" customHeight="1">
      <c r="A24" s="34">
        <v>8</v>
      </c>
      <c r="B24" s="2332">
        <f>IF(A24&gt;C9,0,SUM(C148:C159)*($C$6/$C$7))</f>
        <v>0</v>
      </c>
      <c r="C24" s="2526">
        <f>IF(A24&gt;C9,0,(E147+K147)*$C$8)</f>
        <v>0</v>
      </c>
      <c r="D24" s="3680">
        <f t="shared" si="0"/>
        <v>0</v>
      </c>
      <c r="E24" s="3680"/>
      <c r="F24" s="108"/>
      <c r="G24" s="108"/>
      <c r="H24" s="108"/>
    </row>
    <row r="25" spans="1:8" ht="12.6" customHeight="1">
      <c r="A25" s="34">
        <v>9</v>
      </c>
      <c r="B25" s="2332">
        <f>IF(A25&gt;C9,0,SUM(C160:C171)*($C$6/$C$7))</f>
        <v>0</v>
      </c>
      <c r="C25" s="2526">
        <f>IF(A25&gt;C9,0,(E159+K159)*$C$8)</f>
        <v>0</v>
      </c>
      <c r="D25" s="3680">
        <f t="shared" si="0"/>
        <v>0</v>
      </c>
      <c r="E25" s="3680"/>
      <c r="F25" s="108"/>
      <c r="G25" s="108"/>
      <c r="H25" s="108"/>
    </row>
    <row r="26" spans="1:8" ht="12.6" customHeight="1">
      <c r="A26" s="106">
        <v>10</v>
      </c>
      <c r="B26" s="2334">
        <f>IF(A26&gt;C9,0,SUM(C172:C183)*($C$6/$C$7))</f>
        <v>0</v>
      </c>
      <c r="C26" s="2527">
        <f>IF(A26&gt;C9,0,(E171+K171)*$C$8)</f>
        <v>0</v>
      </c>
      <c r="D26" s="3681">
        <f t="shared" si="0"/>
        <v>0</v>
      </c>
      <c r="E26" s="3681"/>
      <c r="F26" s="108"/>
      <c r="G26" s="108"/>
      <c r="H26" s="108"/>
    </row>
    <row r="27" spans="1:8" ht="12.6" customHeight="1">
      <c r="A27" s="34">
        <v>11</v>
      </c>
      <c r="B27" s="2332">
        <f>IF(A27&gt;C9,0,SUM(C184:C195)*($C$6/$C$7))</f>
        <v>0</v>
      </c>
      <c r="C27" s="2526">
        <f>IF(A27&gt;C9,0,(E183+K183)*$C$8)</f>
        <v>0</v>
      </c>
      <c r="D27" s="3680">
        <f t="shared" si="0"/>
        <v>0</v>
      </c>
      <c r="E27" s="3680"/>
      <c r="F27" s="108"/>
      <c r="G27" s="108"/>
      <c r="H27" s="108"/>
    </row>
    <row r="28" spans="1:8" ht="12.6" customHeight="1">
      <c r="A28" s="34">
        <v>12</v>
      </c>
      <c r="B28" s="2332">
        <f>IF(A28&gt;C9,0,SUM(C196:C207)*($C$6/$C$7))</f>
        <v>0</v>
      </c>
      <c r="C28" s="2526">
        <f>IF(A28&gt;C9,0,(E195+K195)*$C$8)</f>
        <v>0</v>
      </c>
      <c r="D28" s="3680">
        <f t="shared" si="0"/>
        <v>0</v>
      </c>
      <c r="E28" s="3680"/>
      <c r="F28" s="108"/>
      <c r="G28" s="108"/>
      <c r="H28" s="108"/>
    </row>
    <row r="29" spans="1:8" ht="12.6" customHeight="1">
      <c r="A29" s="34">
        <v>13</v>
      </c>
      <c r="B29" s="2332">
        <f>IF(A29&gt;C9,0,SUM(C208:C219)*($C$6/$C$7))</f>
        <v>0</v>
      </c>
      <c r="C29" s="2526">
        <f>IF(A29&gt;C9,0,(E207+K207)*$C$8)</f>
        <v>0</v>
      </c>
      <c r="D29" s="3680">
        <f t="shared" si="0"/>
        <v>0</v>
      </c>
      <c r="E29" s="3680"/>
      <c r="F29" s="108"/>
      <c r="G29" s="108"/>
      <c r="H29" s="108"/>
    </row>
    <row r="30" spans="1:8" ht="12.6" customHeight="1">
      <c r="A30" s="34">
        <v>14</v>
      </c>
      <c r="B30" s="2332">
        <f>IF(A30&gt;C9,0,SUM(C220:C231)*($C$6/$C$7))</f>
        <v>0</v>
      </c>
      <c r="C30" s="2526">
        <f>IF(A30&gt;C9,0,(E219+K219)*$C$8)</f>
        <v>0</v>
      </c>
      <c r="D30" s="3680">
        <f t="shared" si="0"/>
        <v>0</v>
      </c>
      <c r="E30" s="3680"/>
      <c r="F30" s="108"/>
      <c r="G30" s="108"/>
      <c r="H30" s="108"/>
    </row>
    <row r="31" spans="1:8" ht="12.6" customHeight="1">
      <c r="A31" s="34">
        <v>15</v>
      </c>
      <c r="B31" s="2332">
        <f>IF(A31&gt;C9,0,SUM(C232:C243)*($C$6/$C$7))</f>
        <v>0</v>
      </c>
      <c r="C31" s="2526">
        <f>IF(A31&gt;C9,0,(E231+K231)*$C$8)</f>
        <v>0</v>
      </c>
      <c r="D31" s="3681">
        <f t="shared" si="0"/>
        <v>0</v>
      </c>
      <c r="E31" s="3681"/>
      <c r="F31" s="108"/>
      <c r="G31" s="108"/>
      <c r="H31" s="108"/>
    </row>
    <row r="32" spans="1:8" ht="12.6" customHeight="1">
      <c r="A32" s="105">
        <v>16</v>
      </c>
      <c r="B32" s="2333">
        <f>IF(A32&gt;C9,0,SUM(C244:C255)*($C$6/$C$7))</f>
        <v>0</v>
      </c>
      <c r="C32" s="2528">
        <f>IF(A32&gt;C9,0,(E243+K243)*$C$8)</f>
        <v>0</v>
      </c>
      <c r="D32" s="3680">
        <f t="shared" si="0"/>
        <v>0</v>
      </c>
      <c r="E32" s="3680"/>
      <c r="F32" s="108"/>
      <c r="G32" s="108"/>
      <c r="H32" s="108"/>
    </row>
    <row r="33" spans="1:8" ht="12.6" customHeight="1">
      <c r="A33" s="34">
        <v>17</v>
      </c>
      <c r="B33" s="2332">
        <f>IF(A33&gt;C9,0,SUM(C256:C267)*($C$6/$C$7))</f>
        <v>0</v>
      </c>
      <c r="C33" s="2526">
        <f>IF(A33&gt;C9,0,(E255+K255)*$C$8)</f>
        <v>0</v>
      </c>
      <c r="D33" s="3680">
        <f t="shared" si="0"/>
        <v>0</v>
      </c>
      <c r="E33" s="3680"/>
      <c r="F33" s="108"/>
      <c r="G33" s="108"/>
      <c r="H33" s="108"/>
    </row>
    <row r="34" spans="1:8" ht="12.6" customHeight="1">
      <c r="A34" s="34">
        <v>18</v>
      </c>
      <c r="B34" s="2332">
        <f>IF(A34&gt;C9,0,SUM(C268:C279)*($C$6/$C$7))</f>
        <v>0</v>
      </c>
      <c r="C34" s="2526">
        <f>IF(A34&gt;C9,0,(E267+K267)*$C$8)</f>
        <v>0</v>
      </c>
      <c r="D34" s="3680">
        <f t="shared" si="0"/>
        <v>0</v>
      </c>
      <c r="E34" s="3680"/>
      <c r="F34" s="108"/>
      <c r="G34" s="108"/>
      <c r="H34" s="108"/>
    </row>
    <row r="35" spans="1:8" ht="12.6" customHeight="1">
      <c r="A35" s="34">
        <v>19</v>
      </c>
      <c r="B35" s="2332">
        <f>IF(A35&gt;C9,0,SUM(C280:C291)*($C$6/$C$7))</f>
        <v>0</v>
      </c>
      <c r="C35" s="2526">
        <f>IF(A35&gt;C9,0,(E279+K279)*$C$8)</f>
        <v>0</v>
      </c>
      <c r="D35" s="3680">
        <f t="shared" si="0"/>
        <v>0</v>
      </c>
      <c r="E35" s="3680"/>
      <c r="F35" s="108"/>
      <c r="G35" s="108"/>
      <c r="H35" s="108"/>
    </row>
    <row r="36" spans="1:8" ht="12.6" customHeight="1">
      <c r="A36" s="106">
        <v>20</v>
      </c>
      <c r="B36" s="2334">
        <f>IF(A36&gt;C9,0,SUM(C292:C303)*($C$6/$C$7))</f>
        <v>0</v>
      </c>
      <c r="C36" s="2527">
        <f>IF(A36&gt;C9,0,(E291+K291)*$C$8)</f>
        <v>0</v>
      </c>
      <c r="D36" s="3681">
        <f t="shared" si="0"/>
        <v>0</v>
      </c>
      <c r="E36" s="3681"/>
      <c r="F36" s="108"/>
      <c r="G36" s="108"/>
      <c r="H36" s="108"/>
    </row>
    <row r="37" spans="1:8" ht="12.6" customHeight="1">
      <c r="A37" s="34">
        <v>21</v>
      </c>
      <c r="B37" s="2333">
        <f>IF(A37&gt;C9,0,SUM(C293:C304)*($C$6/$C$7))</f>
        <v>0</v>
      </c>
      <c r="C37" s="2528">
        <f>IF(A37&gt;C9,0,(E303+K303)*$C$8)</f>
        <v>0</v>
      </c>
      <c r="D37" s="3682">
        <f t="shared" si="0"/>
        <v>0</v>
      </c>
      <c r="E37" s="3682"/>
      <c r="F37" s="108"/>
      <c r="G37" s="108"/>
      <c r="H37" s="108"/>
    </row>
    <row r="38" spans="1:8" ht="12.6" customHeight="1">
      <c r="A38" s="34">
        <v>22</v>
      </c>
      <c r="B38" s="2332">
        <f>IF(A38&gt;C9,0,SUM(C294:C305)*($C$6/$C$7))</f>
        <v>0</v>
      </c>
      <c r="C38" s="2526">
        <f>IF(A38&gt;C9,0,(E315+K315)*$C$8)</f>
        <v>0</v>
      </c>
      <c r="D38" s="3680">
        <f t="shared" si="0"/>
        <v>0</v>
      </c>
      <c r="E38" s="3680"/>
      <c r="F38" s="108"/>
      <c r="G38" s="108"/>
      <c r="H38" s="108"/>
    </row>
    <row r="39" spans="1:8" ht="12.6" customHeight="1">
      <c r="A39" s="34">
        <v>23</v>
      </c>
      <c r="B39" s="2332">
        <f>IF(A39&gt;C9,0,SUM(C295:C306)*($C$6/$C$7))</f>
        <v>0</v>
      </c>
      <c r="C39" s="2526">
        <f>IF(A39&gt;C9,0,(E327+K327)*$C$8)</f>
        <v>0</v>
      </c>
      <c r="D39" s="3680">
        <f t="shared" si="0"/>
        <v>0</v>
      </c>
      <c r="E39" s="3680"/>
      <c r="F39" s="108"/>
      <c r="G39" s="108"/>
      <c r="H39" s="108"/>
    </row>
    <row r="40" spans="1:8" ht="12.6" customHeight="1">
      <c r="A40" s="34">
        <v>24</v>
      </c>
      <c r="B40" s="2332">
        <f>IF(A40&gt;C9,0,SUM(C296:C307)*($C$6/$C$7))</f>
        <v>0</v>
      </c>
      <c r="C40" s="2526">
        <f>IF(A40&gt;C9,0,(E339+K339)*$C$8)</f>
        <v>0</v>
      </c>
      <c r="D40" s="3680">
        <f t="shared" si="0"/>
        <v>0</v>
      </c>
      <c r="E40" s="3680"/>
      <c r="F40" s="108"/>
      <c r="G40" s="108"/>
      <c r="H40" s="108"/>
    </row>
    <row r="41" spans="1:8" ht="12.6" customHeight="1">
      <c r="A41" s="34">
        <v>25</v>
      </c>
      <c r="B41" s="2334">
        <f>IF(A41&gt;C9,0,SUM(C297:C308)*($C$6/$C$7))</f>
        <v>0</v>
      </c>
      <c r="C41" s="2527">
        <f>IF(A41&gt;C9,0,(E351+K351)*$C$8)</f>
        <v>0</v>
      </c>
      <c r="D41" s="3681">
        <f t="shared" si="0"/>
        <v>0</v>
      </c>
      <c r="E41" s="3681"/>
      <c r="F41" s="108"/>
      <c r="G41" s="108"/>
      <c r="H41" s="108"/>
    </row>
    <row r="42" spans="1:8" ht="12.6" customHeight="1">
      <c r="A42" s="105">
        <v>26</v>
      </c>
      <c r="B42" s="2333">
        <f>IF(A42&gt;C9,0,SUM(C298:C309)*($C$6/$C$7))</f>
        <v>0</v>
      </c>
      <c r="C42" s="2528">
        <f>IF(A42&gt;C9,0,(E363+K363)*$C$8)</f>
        <v>0</v>
      </c>
      <c r="D42" s="3682">
        <f t="shared" si="0"/>
        <v>0</v>
      </c>
      <c r="E42" s="3682"/>
      <c r="F42" s="108"/>
      <c r="G42" s="108"/>
      <c r="H42" s="108"/>
    </row>
    <row r="43" spans="1:8" ht="12.6" customHeight="1">
      <c r="A43" s="34">
        <v>27</v>
      </c>
      <c r="B43" s="2332">
        <f>IF(A43&gt;C9,0,SUM(C299:C310)*($C$6/$C$7))</f>
        <v>0</v>
      </c>
      <c r="C43" s="2526">
        <f>IF(A43&gt;C9,0,(E375+K375)*$C$8)</f>
        <v>0</v>
      </c>
      <c r="D43" s="3680">
        <f t="shared" si="0"/>
        <v>0</v>
      </c>
      <c r="E43" s="3680"/>
      <c r="F43" s="108"/>
      <c r="G43" s="108"/>
      <c r="H43" s="108"/>
    </row>
    <row r="44" spans="1:8" ht="12.6" customHeight="1">
      <c r="A44" s="34">
        <v>28</v>
      </c>
      <c r="B44" s="2332">
        <f>IF(A44&gt;C9,0,SUM(C300:C311)*($C$6/$C$7))</f>
        <v>0</v>
      </c>
      <c r="C44" s="2526">
        <f>IF(A44&gt;C9,0,(E387+K387)*$C$8)</f>
        <v>0</v>
      </c>
      <c r="D44" s="3680">
        <f t="shared" si="0"/>
        <v>0</v>
      </c>
      <c r="E44" s="3680"/>
      <c r="F44" s="108"/>
      <c r="G44" s="108"/>
      <c r="H44" s="108"/>
    </row>
    <row r="45" spans="1:8" ht="12.6" customHeight="1">
      <c r="A45" s="34">
        <v>29</v>
      </c>
      <c r="B45" s="2332">
        <f>IF(A45&gt;C9,0,SUM(C301:C312)*($C$6/$C$7))</f>
        <v>0</v>
      </c>
      <c r="C45" s="2526">
        <f>IF(A45&gt;C9,0,(E411+K411)*$C$8)</f>
        <v>0</v>
      </c>
      <c r="D45" s="3680">
        <f t="shared" si="0"/>
        <v>0</v>
      </c>
      <c r="E45" s="3680"/>
      <c r="F45" s="108"/>
      <c r="G45" s="108"/>
      <c r="H45" s="108"/>
    </row>
    <row r="46" spans="1:8" ht="12.6" customHeight="1">
      <c r="A46" s="106">
        <v>30</v>
      </c>
      <c r="B46" s="2334">
        <f>IF(A46&gt;C9,0,SUM(C302:C313)*($C$6/$C$7))</f>
        <v>0</v>
      </c>
      <c r="C46" s="2527">
        <f>IF(A46&gt;C9,0,(E423+K423)*$C$8)</f>
        <v>0</v>
      </c>
      <c r="D46" s="3681">
        <f t="shared" si="0"/>
        <v>0</v>
      </c>
      <c r="E46" s="3681"/>
      <c r="F46" s="108"/>
      <c r="G46" s="108"/>
      <c r="H46" s="108"/>
    </row>
    <row r="47" spans="1:8" ht="12.6" customHeight="1">
      <c r="A47" s="105">
        <v>31</v>
      </c>
      <c r="B47" s="2333">
        <f>IF(A47&gt;C9,0,SUM(C303:C314)*($C$6/$C$7))</f>
        <v>0</v>
      </c>
      <c r="C47" s="2528">
        <f>IF(A47&gt;C9,0,(E435+K435)*$C$8)</f>
        <v>0</v>
      </c>
      <c r="D47" s="3682">
        <f t="shared" si="0"/>
        <v>0</v>
      </c>
      <c r="E47" s="3682"/>
      <c r="F47" s="108"/>
      <c r="G47" s="108"/>
      <c r="H47" s="108"/>
    </row>
    <row r="48" spans="1:8" ht="12.6" customHeight="1">
      <c r="A48" s="34">
        <v>32</v>
      </c>
      <c r="B48" s="2332">
        <f>IF(A48&gt;C9,0,SUM(C304:C315)*($C$6/$C$7))</f>
        <v>0</v>
      </c>
      <c r="C48" s="2526">
        <f>IF(A48&gt;C9,0,(E447+K447)*$C$8)</f>
        <v>0</v>
      </c>
      <c r="D48" s="3680">
        <f t="shared" si="0"/>
        <v>0</v>
      </c>
      <c r="E48" s="3680"/>
      <c r="F48" s="108"/>
      <c r="G48" s="108"/>
      <c r="H48" s="108"/>
    </row>
    <row r="49" spans="1:12" ht="12.6" customHeight="1">
      <c r="A49" s="34">
        <v>33</v>
      </c>
      <c r="B49" s="2332">
        <f>IF(A49&gt;C9,0,SUM(C305:C316)*($C$6/$C$7))</f>
        <v>0</v>
      </c>
      <c r="C49" s="2526">
        <f>IF(A49&gt;C9,0,(E459+K459)*$C$8)</f>
        <v>0</v>
      </c>
      <c r="D49" s="3680">
        <f t="shared" si="0"/>
        <v>0</v>
      </c>
      <c r="E49" s="3680"/>
      <c r="F49" s="108"/>
      <c r="G49" s="108"/>
      <c r="H49" s="108"/>
    </row>
    <row r="50" spans="1:12" ht="12.6" customHeight="1">
      <c r="A50" s="34">
        <v>34</v>
      </c>
      <c r="B50" s="2332">
        <f>IF(A50&gt;C9,0,SUM(C306:C317)*($C$6/$C$7))</f>
        <v>0</v>
      </c>
      <c r="C50" s="2526">
        <f>IF(A50&gt;C9,0,(E471+K471)*$C$8)</f>
        <v>0</v>
      </c>
      <c r="D50" s="3680">
        <f t="shared" si="0"/>
        <v>0</v>
      </c>
      <c r="E50" s="3680"/>
      <c r="F50" s="108"/>
      <c r="G50" s="108"/>
      <c r="H50" s="108"/>
    </row>
    <row r="51" spans="1:12" ht="12.6" customHeight="1">
      <c r="A51" s="106">
        <v>35</v>
      </c>
      <c r="B51" s="2334">
        <f>IF(A51&gt;C9,0,SUM(C307:C318)*($C$6/$C$7))</f>
        <v>0</v>
      </c>
      <c r="C51" s="2527">
        <f>IF(A51&gt;C9,0,(E483+K483)*$C$8)</f>
        <v>0</v>
      </c>
      <c r="D51" s="3681">
        <f t="shared" si="0"/>
        <v>0</v>
      </c>
      <c r="E51" s="3681"/>
      <c r="F51" s="108"/>
      <c r="G51" s="108"/>
      <c r="H51" s="108"/>
    </row>
    <row r="52" spans="1:12" ht="12.6" customHeight="1">
      <c r="A52" s="105">
        <v>36</v>
      </c>
      <c r="B52" s="2333">
        <f>IF(A52&gt;C9,0,SUM(C308:C319)*($C$6/$C$7))</f>
        <v>0</v>
      </c>
      <c r="C52" s="2528">
        <f>IF(A52&gt;C9,0,(E495+K495)*$C$8)</f>
        <v>0</v>
      </c>
      <c r="D52" s="3682">
        <f t="shared" si="0"/>
        <v>0</v>
      </c>
      <c r="E52" s="3682"/>
      <c r="F52" s="108"/>
      <c r="G52" s="108"/>
      <c r="H52" s="108"/>
    </row>
    <row r="53" spans="1:12" ht="12.6" customHeight="1">
      <c r="A53" s="34">
        <v>37</v>
      </c>
      <c r="B53" s="2332">
        <f>IF(A53&gt;C9,0,SUM(C309:C320)*($C$6/$C$7))</f>
        <v>0</v>
      </c>
      <c r="C53" s="2526">
        <f>IF(A53&gt;C9,0,(E507+K507)*$C$8)</f>
        <v>0</v>
      </c>
      <c r="D53" s="3680">
        <f t="shared" si="0"/>
        <v>0</v>
      </c>
      <c r="E53" s="3680"/>
      <c r="F53" s="108"/>
      <c r="G53" s="108"/>
      <c r="H53" s="108"/>
    </row>
    <row r="54" spans="1:12" ht="12.6" customHeight="1">
      <c r="A54" s="34">
        <v>38</v>
      </c>
      <c r="B54" s="2332">
        <f>IF(A54&gt;C9,0,SUM(C310:C321)*($C$6/$C$7))</f>
        <v>0</v>
      </c>
      <c r="C54" s="2526">
        <f>IF(A54&gt;C9,0,(E519+K519)*$C$8)</f>
        <v>0</v>
      </c>
      <c r="D54" s="3680">
        <f t="shared" si="0"/>
        <v>0</v>
      </c>
      <c r="E54" s="3680"/>
      <c r="F54" s="108"/>
      <c r="G54" s="108"/>
      <c r="H54" s="108"/>
    </row>
    <row r="55" spans="1:12" ht="12.6" customHeight="1">
      <c r="A55" s="34">
        <v>39</v>
      </c>
      <c r="B55" s="2332">
        <f>IF(A55&gt;C9,0,SUM(C311:C322)*($C$6/$C$7))</f>
        <v>0</v>
      </c>
      <c r="C55" s="2526">
        <f>IF(A55&gt;C9,0,(E531+K531)*$C$8)</f>
        <v>0</v>
      </c>
      <c r="D55" s="3680">
        <f t="shared" si="0"/>
        <v>0</v>
      </c>
      <c r="E55" s="3680"/>
      <c r="F55" s="108"/>
      <c r="G55" s="108"/>
      <c r="H55" s="108"/>
    </row>
    <row r="56" spans="1:12" ht="12.6" customHeight="1">
      <c r="A56" s="106">
        <v>40</v>
      </c>
      <c r="B56" s="2334">
        <f>IF(A56&gt;C9,0,SUM(C312:C323)*($C$6/$C$7))</f>
        <v>0</v>
      </c>
      <c r="C56" s="2527">
        <f>IF(A56&gt;C9,0,(E543+K543)*$C$8)</f>
        <v>0</v>
      </c>
      <c r="D56" s="3681">
        <f t="shared" si="0"/>
        <v>0</v>
      </c>
      <c r="E56" s="3681"/>
      <c r="F56" s="108"/>
      <c r="G56" s="108"/>
      <c r="H56" s="108"/>
    </row>
    <row r="57" spans="1:12" ht="3" customHeight="1">
      <c r="A57" s="108"/>
      <c r="B57" s="108"/>
      <c r="C57" s="108"/>
      <c r="D57" s="108"/>
      <c r="E57" s="108"/>
      <c r="F57" s="108"/>
      <c r="G57" s="108"/>
      <c r="H57" s="108"/>
    </row>
    <row r="58" spans="1:12" ht="13.35" customHeight="1">
      <c r="A58" s="3684" t="e">
        <f>CONCATENATE(#REF!," ",#REF!,", ",#REF!,", ",#REF!," County")</f>
        <v>#REF!</v>
      </c>
      <c r="B58" s="3684"/>
      <c r="C58" s="3684"/>
      <c r="D58" s="3684"/>
      <c r="E58" s="3684"/>
      <c r="F58" s="3684"/>
      <c r="G58" s="3684" t="e">
        <f>CONCATENATE(#REF!," ",#REF!,", ",#REF!,", ",#REF!," County")</f>
        <v>#REF!</v>
      </c>
      <c r="H58" s="3684"/>
      <c r="I58" s="3684"/>
      <c r="J58" s="3684"/>
      <c r="K58" s="3684"/>
      <c r="L58" s="3684"/>
    </row>
    <row r="59" spans="1:12" ht="15">
      <c r="A59" s="3685" t="s">
        <v>483</v>
      </c>
      <c r="B59" s="3685"/>
      <c r="C59" s="3685"/>
      <c r="D59" s="3685"/>
      <c r="E59" s="3685"/>
      <c r="F59" s="3685"/>
      <c r="G59" s="3685" t="s">
        <v>483</v>
      </c>
      <c r="H59" s="3685"/>
      <c r="I59" s="3685"/>
      <c r="J59" s="3685"/>
      <c r="K59" s="3685"/>
      <c r="L59" s="3685"/>
    </row>
    <row r="60" spans="1:12" ht="6" customHeight="1">
      <c r="C60" s="107"/>
      <c r="D60" s="107"/>
      <c r="I60" s="107"/>
      <c r="J60" s="107"/>
    </row>
    <row r="61" spans="1:12">
      <c r="A61" s="109" t="s">
        <v>484</v>
      </c>
      <c r="B61" s="110" t="s">
        <v>485</v>
      </c>
      <c r="C61" s="110" t="s">
        <v>486</v>
      </c>
      <c r="D61" s="110" t="s">
        <v>487</v>
      </c>
      <c r="E61" s="109" t="s">
        <v>488</v>
      </c>
      <c r="F61" s="119" t="s">
        <v>479</v>
      </c>
      <c r="G61" s="109" t="s">
        <v>484</v>
      </c>
      <c r="H61" s="110" t="s">
        <v>485</v>
      </c>
      <c r="I61" s="110" t="s">
        <v>486</v>
      </c>
      <c r="J61" s="110" t="s">
        <v>487</v>
      </c>
      <c r="K61" s="109" t="s">
        <v>488</v>
      </c>
      <c r="L61" s="119" t="s">
        <v>479</v>
      </c>
    </row>
    <row r="62" spans="1:12" ht="3.6" customHeight="1">
      <c r="A62" s="34"/>
      <c r="F62" s="34"/>
      <c r="G62" s="34"/>
      <c r="L62" s="34"/>
    </row>
    <row r="63" spans="1:12">
      <c r="A63" s="106" t="s">
        <v>489</v>
      </c>
      <c r="B63" s="111"/>
      <c r="C63" s="111"/>
      <c r="D63" s="111"/>
      <c r="E63" s="112">
        <f>IF($C$5&gt;1500000,$D$5,$C$5)</f>
        <v>0</v>
      </c>
      <c r="F63" s="34"/>
      <c r="G63" s="106" t="s">
        <v>489</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 ref="D34:E34"/>
    <mergeCell ref="D35:E35"/>
    <mergeCell ref="D36:E36"/>
    <mergeCell ref="G58:L58"/>
    <mergeCell ref="D56:E56"/>
    <mergeCell ref="D52:E52"/>
    <mergeCell ref="D53:E53"/>
    <mergeCell ref="D54:E54"/>
    <mergeCell ref="D55:E55"/>
    <mergeCell ref="D48:E48"/>
    <mergeCell ref="D49:E49"/>
    <mergeCell ref="D25:E25"/>
    <mergeCell ref="D26:E26"/>
    <mergeCell ref="D27:E27"/>
    <mergeCell ref="D32:E32"/>
    <mergeCell ref="D33:E33"/>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85546875" defaultRowHeight="12.75"/>
  <cols>
    <col min="1" max="1" width="7.140625" customWidth="1"/>
    <col min="2" max="6" width="16.85546875" customWidth="1"/>
    <col min="7" max="7" width="11.5703125" customWidth="1"/>
    <col min="8" max="8" width="2.140625" style="34" customWidth="1"/>
    <col min="9" max="9" width="10.42578125" bestFit="1" customWidth="1"/>
    <col min="10" max="10" width="12.140625" customWidth="1"/>
    <col min="11" max="11" width="10.85546875" customWidth="1"/>
  </cols>
  <sheetData>
    <row r="1" spans="1:17" s="4" customFormat="1" ht="16.350000000000001" customHeight="1">
      <c r="A1" s="3677" t="e">
        <f>CONCATENATE("PART III C  - HUD INSURED LOAN","  -  ",#REF!," ",#REF!,", ",#REF!,", ",#REF!," County")</f>
        <v>#REF!</v>
      </c>
      <c r="B1" s="3678"/>
      <c r="C1" s="3678"/>
      <c r="D1" s="3678"/>
      <c r="E1" s="3678"/>
      <c r="F1" s="3679"/>
      <c r="G1" s="91"/>
      <c r="H1" s="91"/>
      <c r="I1" s="91"/>
      <c r="J1" s="91"/>
      <c r="K1" s="91"/>
      <c r="L1" s="91"/>
      <c r="M1" s="91"/>
      <c r="N1" s="91"/>
      <c r="O1" s="91"/>
      <c r="P1" s="91"/>
      <c r="Q1" s="91"/>
    </row>
    <row r="2" spans="1:17">
      <c r="A2" s="6"/>
    </row>
    <row r="3" spans="1:17" ht="15.6" customHeight="1">
      <c r="A3" s="3685" t="s">
        <v>465</v>
      </c>
      <c r="B3" s="3685"/>
      <c r="C3" s="3685"/>
      <c r="D3" s="3685"/>
      <c r="E3" s="3685"/>
      <c r="F3" s="3685"/>
      <c r="G3" s="121"/>
      <c r="H3" s="121"/>
    </row>
    <row r="4" spans="1:17">
      <c r="A4" s="6"/>
    </row>
    <row r="5" spans="1:17" ht="13.35" customHeight="1">
      <c r="A5" t="s">
        <v>466</v>
      </c>
      <c r="D5" s="2672"/>
      <c r="E5" s="3688" t="s">
        <v>490</v>
      </c>
      <c r="F5" s="3689"/>
      <c r="G5" s="83"/>
    </row>
    <row r="6" spans="1:17">
      <c r="E6" s="3689"/>
      <c r="F6" s="3689"/>
      <c r="G6" s="83"/>
    </row>
    <row r="7" spans="1:17">
      <c r="A7" t="s">
        <v>467</v>
      </c>
      <c r="C7" t="s">
        <v>491</v>
      </c>
      <c r="D7" s="2673"/>
      <c r="E7" s="3689"/>
      <c r="F7" s="3689"/>
      <c r="G7" s="83"/>
    </row>
    <row r="8" spans="1:17">
      <c r="C8" t="s">
        <v>492</v>
      </c>
      <c r="D8" s="2673"/>
      <c r="E8" s="3689"/>
      <c r="F8" s="3689"/>
      <c r="G8" s="83"/>
    </row>
    <row r="9" spans="1:17">
      <c r="C9" t="s">
        <v>493</v>
      </c>
      <c r="D9" s="2673"/>
      <c r="E9" s="3689"/>
      <c r="F9" s="3689"/>
      <c r="G9" s="83"/>
    </row>
    <row r="10" spans="1:17">
      <c r="C10" t="s">
        <v>470</v>
      </c>
      <c r="D10" s="122">
        <f>D7+D8+D9</f>
        <v>0</v>
      </c>
      <c r="E10" s="3689"/>
      <c r="F10" s="3689"/>
      <c r="G10" s="83"/>
    </row>
    <row r="11" spans="1:17">
      <c r="F11" s="83"/>
      <c r="G11" s="83"/>
    </row>
    <row r="12" spans="1:17">
      <c r="A12" t="s">
        <v>494</v>
      </c>
      <c r="D12" s="2674"/>
      <c r="E12" t="s">
        <v>495</v>
      </c>
      <c r="F12" s="83"/>
      <c r="G12" s="83"/>
    </row>
    <row r="13" spans="1:17">
      <c r="D13" s="107"/>
      <c r="F13" s="83"/>
      <c r="G13" s="83"/>
    </row>
    <row r="14" spans="1:17">
      <c r="A14" t="s">
        <v>496</v>
      </c>
      <c r="D14" s="2675"/>
      <c r="E14" t="s">
        <v>497</v>
      </c>
      <c r="F14" s="123"/>
    </row>
    <row r="15" spans="1:17">
      <c r="D15" s="117"/>
      <c r="F15" s="123"/>
    </row>
    <row r="16" spans="1:17">
      <c r="A16" t="s">
        <v>498</v>
      </c>
      <c r="D16" s="2675"/>
      <c r="E16" t="s">
        <v>497</v>
      </c>
      <c r="F16" s="123"/>
    </row>
    <row r="17" spans="1:10">
      <c r="D17" s="107"/>
      <c r="F17" s="123"/>
    </row>
    <row r="18" spans="1:10">
      <c r="A18" t="s">
        <v>499</v>
      </c>
      <c r="D18" s="107" t="e">
        <f>PMT(D10/12,D16*12,-D5,0,0)*12</f>
        <v>#NUM!</v>
      </c>
      <c r="E18" t="s">
        <v>500</v>
      </c>
      <c r="F18" s="123"/>
    </row>
    <row r="19" spans="1:10">
      <c r="D19" s="107"/>
      <c r="F19" s="123"/>
    </row>
    <row r="20" spans="1:10">
      <c r="A20" t="s">
        <v>501</v>
      </c>
      <c r="D20" s="107" t="e">
        <f>D18/12</f>
        <v>#NUM!</v>
      </c>
      <c r="E20" t="s">
        <v>500</v>
      </c>
      <c r="F20" s="123"/>
    </row>
    <row r="24" spans="1:10" ht="18" customHeight="1">
      <c r="A24" s="3686" t="s">
        <v>502</v>
      </c>
      <c r="B24" s="3686"/>
      <c r="C24" s="3686"/>
      <c r="D24" s="3686"/>
      <c r="E24" s="3686"/>
      <c r="F24" s="3686"/>
      <c r="J24" s="2335"/>
    </row>
    <row r="25" spans="1:10">
      <c r="C25" s="107"/>
      <c r="J25" s="2335"/>
    </row>
    <row r="26" spans="1:10">
      <c r="A26" s="49"/>
      <c r="B26" s="34"/>
      <c r="C26" s="3690" t="s">
        <v>482</v>
      </c>
      <c r="D26" s="120"/>
      <c r="E26" s="34"/>
      <c r="F26" s="3690" t="s">
        <v>482</v>
      </c>
      <c r="J26" s="2335"/>
    </row>
    <row r="27" spans="1:10">
      <c r="A27" s="124" t="s">
        <v>479</v>
      </c>
      <c r="B27" s="9" t="s">
        <v>503</v>
      </c>
      <c r="C27" s="3691"/>
      <c r="D27" s="125" t="s">
        <v>479</v>
      </c>
      <c r="E27" s="9" t="s">
        <v>503</v>
      </c>
      <c r="F27" s="3691"/>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684" t="e">
        <f>CONCATENATE(#REF!," ",#REF!,", ",#REF!,", ",#REF!," County")</f>
        <v>#REF!</v>
      </c>
      <c r="B50" s="3684"/>
      <c r="C50" s="3684"/>
      <c r="D50" s="3684"/>
      <c r="E50" s="3684"/>
      <c r="F50" s="3684"/>
      <c r="G50" s="48"/>
      <c r="H50" s="48"/>
    </row>
    <row r="51" spans="1:10" ht="15">
      <c r="A51" s="3685" t="s">
        <v>483</v>
      </c>
      <c r="B51" s="3685"/>
      <c r="C51" s="3685"/>
      <c r="D51" s="3685"/>
      <c r="E51" s="3685"/>
      <c r="F51" s="3685"/>
      <c r="G51" s="121"/>
      <c r="H51" s="121"/>
      <c r="I51" s="121"/>
      <c r="J51" s="121"/>
    </row>
    <row r="52" spans="1:10" ht="5.85" customHeight="1">
      <c r="C52" s="107"/>
      <c r="D52" s="107"/>
    </row>
    <row r="53" spans="1:10">
      <c r="A53" s="109" t="s">
        <v>484</v>
      </c>
      <c r="B53" s="109" t="s">
        <v>485</v>
      </c>
      <c r="C53" s="109" t="s">
        <v>486</v>
      </c>
      <c r="D53" s="109" t="s">
        <v>487</v>
      </c>
      <c r="E53" s="109" t="s">
        <v>488</v>
      </c>
      <c r="F53" s="119" t="s">
        <v>479</v>
      </c>
      <c r="G53" s="109"/>
      <c r="H53" s="109"/>
      <c r="I53" s="109"/>
    </row>
    <row r="54" spans="1:10" ht="3.6" customHeight="1">
      <c r="F54" s="34"/>
    </row>
    <row r="55" spans="1:10">
      <c r="A55" t="s">
        <v>489</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158" workbookViewId="0">
      <selection activeCell="J171" sqref="J171:K171"/>
    </sheetView>
  </sheetViews>
  <sheetFormatPr defaultColWidth="9.140625" defaultRowHeight="12.75"/>
  <cols>
    <col min="1" max="1" width="2.42578125" style="96" customWidth="1"/>
    <col min="2" max="2" width="5.42578125" style="96" customWidth="1"/>
    <col min="3" max="3" width="18.140625" style="96" customWidth="1"/>
    <col min="4" max="4" width="7.140625" style="96" customWidth="1"/>
    <col min="5" max="5" width="12.5703125" style="96" customWidth="1"/>
    <col min="6" max="6" width="10.42578125" style="96" customWidth="1"/>
    <col min="7" max="8" width="6.42578125" style="96" customWidth="1"/>
    <col min="9" max="9" width="1.85546875" style="96" customWidth="1"/>
    <col min="10" max="11" width="6.42578125" style="96" customWidth="1"/>
    <col min="12" max="12" width="1.85546875" style="96" customWidth="1"/>
    <col min="13" max="14" width="6.42578125" style="96" customWidth="1"/>
    <col min="15" max="15" width="1.85546875" style="96" customWidth="1"/>
    <col min="16" max="17" width="6.42578125" style="96" customWidth="1"/>
    <col min="18" max="18" width="1.85546875" style="96" customWidth="1"/>
    <col min="19" max="20" width="7" style="96" customWidth="1"/>
    <col min="21" max="21" width="5.85546875" style="96" customWidth="1"/>
    <col min="22" max="22" width="13.140625" style="96" customWidth="1"/>
    <col min="23" max="23" width="24.85546875" style="96" customWidth="1"/>
    <col min="24" max="24" width="73.42578125" style="96" customWidth="1"/>
    <col min="25" max="25" width="9.140625" style="96"/>
    <col min="26" max="26" width="8" style="96" customWidth="1"/>
    <col min="27" max="28" width="9" style="96" customWidth="1"/>
    <col min="29" max="29" width="8" style="96" customWidth="1"/>
    <col min="30" max="31" width="9.140625" style="96" bestFit="1"/>
    <col min="32" max="32" width="10.42578125" style="96" customWidth="1"/>
    <col min="33" max="33" width="8.5703125" style="96" customWidth="1"/>
    <col min="34" max="34" width="8.85546875" style="96" customWidth="1"/>
    <col min="35" max="35" width="9.5703125" style="96" customWidth="1"/>
    <col min="36" max="51" width="8" style="96" customWidth="1"/>
    <col min="52" max="53" width="9.140625" style="1808"/>
    <col min="54" max="16384" width="9.140625" style="96"/>
  </cols>
  <sheetData>
    <row r="1" spans="1:53" s="545" customFormat="1" hidden="1">
      <c r="G1" s="545" t="s">
        <v>504</v>
      </c>
      <c r="J1" s="545" t="s">
        <v>505</v>
      </c>
      <c r="M1" s="545" t="s">
        <v>506</v>
      </c>
      <c r="N1" s="545" t="s">
        <v>507</v>
      </c>
      <c r="P1" s="545" t="s">
        <v>508</v>
      </c>
      <c r="Q1" s="545" t="s">
        <v>509</v>
      </c>
      <c r="S1" s="545" t="s">
        <v>510</v>
      </c>
      <c r="AZ1" s="1808"/>
      <c r="BA1" s="1809">
        <v>1</v>
      </c>
    </row>
    <row r="2" spans="1:53" s="95" customFormat="1" ht="13.5" customHeight="1">
      <c r="A2" s="3692" t="str">
        <f>CONCATENATE("PART THREE (A):  USES OF FUNDS","  -  ",'Part I-Project Identification'!$O$7," ",'Part I-Project Identification'!$F$27,", ",'Part I-Project Identification'!F28,", ",'Part I-Project Identification'!J28," County")</f>
        <v>PART THREE (A):  USES OF FUNDS  -  2026-0xx Westchester Village II, Jonesboro, Clayton County</v>
      </c>
      <c r="B2" s="3693"/>
      <c r="C2" s="3693"/>
      <c r="D2" s="3693"/>
      <c r="E2" s="3693"/>
      <c r="F2" s="3693"/>
      <c r="G2" s="3693"/>
      <c r="H2" s="3693"/>
      <c r="I2" s="3693"/>
      <c r="J2" s="3693"/>
      <c r="K2" s="3693"/>
      <c r="L2" s="3693"/>
      <c r="M2" s="3693"/>
      <c r="N2" s="3693"/>
      <c r="O2" s="3693"/>
      <c r="P2" s="3693"/>
      <c r="Q2" s="3693"/>
      <c r="R2" s="3693"/>
      <c r="S2" s="3693"/>
      <c r="T2" s="3693"/>
      <c r="W2" s="3694" t="str">
        <f>A2</f>
        <v>PART THREE (A):  USES OF FUNDS  -  2026-0xx Westchester Village II, Jonesboro, Clayton County</v>
      </c>
      <c r="X2" s="3694"/>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21</v>
      </c>
      <c r="B6" s="237" t="s">
        <v>511</v>
      </c>
      <c r="D6" s="3695" t="str">
        <f>'Part I-Project Identification'!A6</f>
        <v>May XX, 2026</v>
      </c>
      <c r="E6" s="3696"/>
      <c r="F6" s="3696"/>
      <c r="G6" s="3696"/>
      <c r="H6" s="3696"/>
      <c r="I6" s="268"/>
      <c r="J6" s="3697" t="s">
        <v>512</v>
      </c>
      <c r="K6" s="3698"/>
      <c r="L6" s="183"/>
      <c r="M6" s="3701" t="s">
        <v>513</v>
      </c>
      <c r="N6" s="3702"/>
      <c r="P6" s="3697" t="s">
        <v>514</v>
      </c>
      <c r="Q6" s="3698"/>
      <c r="S6" s="3697" t="s">
        <v>515</v>
      </c>
      <c r="T6" s="3698"/>
      <c r="V6" s="238" t="str">
        <f>B6</f>
        <v>DEVELOPMENT BUDGET</v>
      </c>
      <c r="AZ6" s="1810"/>
      <c r="BA6" s="1809">
        <v>6</v>
      </c>
    </row>
    <row r="7" spans="1:53" s="95" customFormat="1" ht="19.5" customHeight="1" thickBot="1">
      <c r="D7" s="850"/>
      <c r="E7" s="850"/>
      <c r="F7" s="850"/>
      <c r="G7" s="3705" t="s">
        <v>516</v>
      </c>
      <c r="H7" s="3706"/>
      <c r="J7" s="3699"/>
      <c r="K7" s="3700"/>
      <c r="L7" s="183"/>
      <c r="M7" s="3703"/>
      <c r="N7" s="3704"/>
      <c r="P7" s="3699"/>
      <c r="Q7" s="3700"/>
      <c r="S7" s="3699"/>
      <c r="T7" s="3700"/>
      <c r="V7" s="159" t="s">
        <v>349</v>
      </c>
      <c r="X7" s="159"/>
      <c r="AZ7" s="1810"/>
      <c r="BA7" s="1809">
        <v>7</v>
      </c>
    </row>
    <row r="8" spans="1:53" s="95" customFormat="1" ht="12" customHeight="1">
      <c r="B8" s="151" t="s">
        <v>517</v>
      </c>
      <c r="O8" s="267" t="str">
        <f>B8</f>
        <v>PRE-DEVELOPMENT COSTS</v>
      </c>
      <c r="W8" s="95" t="str">
        <f>B8</f>
        <v>PRE-DEVELOPMENT COSTS</v>
      </c>
      <c r="AZ8" s="1810"/>
      <c r="BA8" s="1809">
        <v>8</v>
      </c>
    </row>
    <row r="9" spans="1:53" s="95" customFormat="1" ht="11.25" customHeight="1">
      <c r="B9" s="95" t="s">
        <v>518</v>
      </c>
      <c r="G9" s="3610">
        <v>12000</v>
      </c>
      <c r="H9" s="3611"/>
      <c r="J9" s="3610">
        <v>12000</v>
      </c>
      <c r="K9" s="3611"/>
      <c r="L9" s="2532"/>
      <c r="M9" s="3610"/>
      <c r="N9" s="3611"/>
      <c r="P9" s="3610"/>
      <c r="Q9" s="3611"/>
      <c r="S9" s="3610"/>
      <c r="T9" s="3611"/>
      <c r="V9" s="614"/>
      <c r="W9" s="3707"/>
      <c r="X9" s="3708"/>
      <c r="AZ9" s="1810"/>
      <c r="BA9" s="1809">
        <v>9</v>
      </c>
    </row>
    <row r="10" spans="1:53" s="95" customFormat="1" ht="11.25" customHeight="1">
      <c r="B10" s="95" t="s">
        <v>519</v>
      </c>
      <c r="G10" s="3592">
        <v>12000</v>
      </c>
      <c r="H10" s="3593"/>
      <c r="J10" s="3592">
        <v>12000</v>
      </c>
      <c r="K10" s="3593"/>
      <c r="L10" s="2532"/>
      <c r="M10" s="3592"/>
      <c r="N10" s="3593"/>
      <c r="P10" s="3592"/>
      <c r="Q10" s="3593"/>
      <c r="S10" s="3592"/>
      <c r="T10" s="3593"/>
      <c r="V10" s="614"/>
      <c r="W10" s="3707"/>
      <c r="X10" s="3708"/>
      <c r="AZ10" s="1810"/>
      <c r="BA10" s="1809">
        <v>10</v>
      </c>
    </row>
    <row r="11" spans="1:53" s="95" customFormat="1" ht="11.25" customHeight="1">
      <c r="B11" s="95" t="s">
        <v>520</v>
      </c>
      <c r="G11" s="3592">
        <v>20000</v>
      </c>
      <c r="H11" s="3593"/>
      <c r="J11" s="3592">
        <v>20000</v>
      </c>
      <c r="K11" s="3593"/>
      <c r="L11" s="2532"/>
      <c r="M11" s="3592"/>
      <c r="N11" s="3593"/>
      <c r="P11" s="3592"/>
      <c r="Q11" s="3593"/>
      <c r="S11" s="3592"/>
      <c r="T11" s="3593"/>
      <c r="V11" s="614"/>
      <c r="W11" s="3707"/>
      <c r="X11" s="3708"/>
      <c r="AZ11" s="1810"/>
      <c r="BA11" s="1809">
        <v>11</v>
      </c>
    </row>
    <row r="12" spans="1:53" s="95" customFormat="1" ht="11.25" customHeight="1">
      <c r="B12" s="95" t="s">
        <v>521</v>
      </c>
      <c r="G12" s="3592">
        <v>20000</v>
      </c>
      <c r="H12" s="3593"/>
      <c r="J12" s="3592">
        <v>20000</v>
      </c>
      <c r="K12" s="3593"/>
      <c r="L12" s="2532"/>
      <c r="M12" s="3592"/>
      <c r="N12" s="3593"/>
      <c r="P12" s="3592"/>
      <c r="Q12" s="3593"/>
      <c r="S12" s="3592"/>
      <c r="T12" s="3593"/>
      <c r="V12" s="614"/>
      <c r="W12" s="3707"/>
      <c r="X12" s="3708"/>
      <c r="AZ12" s="1810"/>
      <c r="BA12" s="1809">
        <v>12</v>
      </c>
    </row>
    <row r="13" spans="1:53" s="95" customFormat="1" ht="11.25" customHeight="1">
      <c r="B13" s="95" t="s">
        <v>522</v>
      </c>
      <c r="G13" s="3592">
        <v>25000</v>
      </c>
      <c r="H13" s="3593"/>
      <c r="J13" s="3592">
        <v>25000</v>
      </c>
      <c r="K13" s="3593"/>
      <c r="L13" s="2532"/>
      <c r="M13" s="3592"/>
      <c r="N13" s="3593"/>
      <c r="P13" s="3592"/>
      <c r="Q13" s="3593"/>
      <c r="S13" s="3592"/>
      <c r="T13" s="3593"/>
      <c r="V13" s="614"/>
      <c r="W13" s="3707"/>
      <c r="X13" s="3708"/>
      <c r="AZ13" s="1810"/>
      <c r="BA13" s="1809">
        <v>13</v>
      </c>
    </row>
    <row r="14" spans="1:53" s="95" customFormat="1" ht="11.25" customHeight="1">
      <c r="B14" s="95" t="s">
        <v>523</v>
      </c>
      <c r="G14" s="3592"/>
      <c r="H14" s="3593"/>
      <c r="J14" s="3592"/>
      <c r="K14" s="3593"/>
      <c r="L14" s="2532"/>
      <c r="M14" s="3592"/>
      <c r="N14" s="3593"/>
      <c r="P14" s="3592"/>
      <c r="Q14" s="3593"/>
      <c r="S14" s="3592"/>
      <c r="T14" s="3593"/>
      <c r="V14" s="614"/>
      <c r="W14" s="3707"/>
      <c r="X14" s="3708"/>
      <c r="AZ14" s="1810"/>
      <c r="BA14" s="1809">
        <v>14</v>
      </c>
    </row>
    <row r="15" spans="1:53" s="95" customFormat="1" ht="11.25" customHeight="1">
      <c r="A15" s="205" t="str">
        <f>IF(AND(G15&gt;0,OR(C15="",C15="&lt;Enter detailed description here; use Comments section if needed&gt;")),"X","")</f>
        <v/>
      </c>
      <c r="B15" s="98" t="s">
        <v>524</v>
      </c>
      <c r="C15" s="3709" t="s">
        <v>525</v>
      </c>
      <c r="D15" s="3709"/>
      <c r="E15" s="3709"/>
      <c r="F15" s="3710"/>
      <c r="G15" s="3592"/>
      <c r="H15" s="3593"/>
      <c r="J15" s="3592"/>
      <c r="K15" s="3593"/>
      <c r="L15" s="2532"/>
      <c r="M15" s="3592"/>
      <c r="N15" s="3593"/>
      <c r="P15" s="3592"/>
      <c r="Q15" s="3593"/>
      <c r="S15" s="3592"/>
      <c r="T15" s="3593"/>
      <c r="U15" s="204" t="str">
        <f>IF(AND(G15&gt;0,OR(C15="",C15="&lt;Enter detailed description here; use Comments section if needed&gt;")),"NO DESCRIPTION PROVIDED - please enter detailed description in Other box at left; use Comments section below if needed.","")</f>
        <v/>
      </c>
      <c r="V15" s="615"/>
      <c r="W15" s="3707"/>
      <c r="X15" s="3708"/>
      <c r="AZ15" s="1810" t="s">
        <v>526</v>
      </c>
      <c r="BA15" s="1809">
        <v>15</v>
      </c>
    </row>
    <row r="16" spans="1:53" s="95" customFormat="1" ht="11.25" customHeight="1">
      <c r="A16" s="205" t="str">
        <f>IF(AND(G16&gt;0,OR(C16="",C16="&lt;Enter detailed description here; use Comments section if needed&gt;")),"X","")</f>
        <v/>
      </c>
      <c r="B16" s="98" t="s">
        <v>527</v>
      </c>
      <c r="C16" s="3709" t="s">
        <v>525</v>
      </c>
      <c r="D16" s="3709"/>
      <c r="E16" s="3709"/>
      <c r="F16" s="3710"/>
      <c r="G16" s="3592"/>
      <c r="H16" s="3593"/>
      <c r="J16" s="3592"/>
      <c r="K16" s="3593"/>
      <c r="L16" s="2532"/>
      <c r="M16" s="3592"/>
      <c r="N16" s="3593"/>
      <c r="P16" s="3592"/>
      <c r="Q16" s="3593"/>
      <c r="S16" s="3592"/>
      <c r="T16" s="3593"/>
      <c r="U16" s="204" t="str">
        <f>IF(AND(G16&gt;0,OR(C16="",C16="&lt;Enter detailed description here; use Comments section if needed&gt;")),"NO DESCRIPTION PROVIDED - please enter detailed description in Other box at left; use Comments section below if needed.","")</f>
        <v/>
      </c>
      <c r="V16" s="615"/>
      <c r="W16" s="3707"/>
      <c r="X16" s="3708"/>
      <c r="AZ16" s="1810" t="s">
        <v>528</v>
      </c>
      <c r="BA16" s="1809">
        <v>16</v>
      </c>
    </row>
    <row r="17" spans="1:53" s="95" customFormat="1" ht="11.25" customHeight="1" thickBot="1">
      <c r="A17" s="205" t="str">
        <f>IF(AND(G17&gt;0,OR(C17="",C17="&lt;Enter detailed description here; use Comments section if needed&gt;")),"X","")</f>
        <v/>
      </c>
      <c r="B17" s="98" t="s">
        <v>529</v>
      </c>
      <c r="C17" s="3709" t="s">
        <v>525</v>
      </c>
      <c r="D17" s="3709"/>
      <c r="E17" s="3709"/>
      <c r="F17" s="3710"/>
      <c r="G17" s="3717"/>
      <c r="H17" s="3718"/>
      <c r="J17" s="3717"/>
      <c r="K17" s="3718"/>
      <c r="L17" s="2532"/>
      <c r="M17" s="3717"/>
      <c r="N17" s="3718"/>
      <c r="P17" s="3717"/>
      <c r="Q17" s="3718"/>
      <c r="S17" s="3717"/>
      <c r="T17" s="3718"/>
      <c r="U17" s="204" t="str">
        <f>IF(AND(G17&gt;0,OR(C17="",C17="&lt;Enter detailed description here; use Comments section if needed&gt;")),"NO DESCRIPTION PROVIDED - please enter detailed description in Other box at left; use Comments section below if needed.","")</f>
        <v/>
      </c>
      <c r="V17" s="615"/>
      <c r="W17" s="3711"/>
      <c r="X17" s="3712"/>
      <c r="AZ17" s="1810" t="s">
        <v>530</v>
      </c>
      <c r="BA17" s="1809">
        <v>17</v>
      </c>
    </row>
    <row r="18" spans="1:53" s="95" customFormat="1" ht="12.6" customHeight="1" thickTop="1">
      <c r="F18" s="184" t="s">
        <v>531</v>
      </c>
      <c r="G18" s="3713">
        <f>SUM(G9:G17)</f>
        <v>89000</v>
      </c>
      <c r="H18" s="3714"/>
      <c r="J18" s="3713">
        <f>SUM(J9:J17)</f>
        <v>89000</v>
      </c>
      <c r="K18" s="3714"/>
      <c r="L18" s="2532"/>
      <c r="M18" s="3713">
        <f>SUM(M9:M17)</f>
        <v>0</v>
      </c>
      <c r="N18" s="3714"/>
      <c r="P18" s="3713">
        <f>SUM(P9:P17)</f>
        <v>0</v>
      </c>
      <c r="Q18" s="3714"/>
      <c r="S18" s="3713">
        <f>SUM(S9:S17)</f>
        <v>0</v>
      </c>
      <c r="T18" s="3714"/>
      <c r="V18" s="616">
        <f>SUM(V9:V17)</f>
        <v>0</v>
      </c>
      <c r="W18" s="3715"/>
      <c r="X18" s="3716"/>
      <c r="AZ18" s="1810" t="s">
        <v>532</v>
      </c>
      <c r="BA18" s="1809">
        <v>18</v>
      </c>
    </row>
    <row r="19" spans="1:53" s="95" customFormat="1" ht="12" customHeight="1">
      <c r="B19" s="151" t="s">
        <v>533</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534</v>
      </c>
      <c r="E20" s="482" t="s">
        <v>535</v>
      </c>
      <c r="F20" s="1300">
        <f>IF('Part I-Project Identification'!$O$29="","",G20/'Part I-Project Identification'!$O$29)</f>
        <v>0</v>
      </c>
      <c r="G20" s="3610">
        <v>0</v>
      </c>
      <c r="H20" s="3611"/>
      <c r="J20" s="186"/>
      <c r="K20" s="183"/>
      <c r="L20" s="186"/>
      <c r="M20" s="186"/>
      <c r="N20" s="183"/>
      <c r="P20" s="186"/>
      <c r="Q20" s="183"/>
      <c r="S20" s="3610">
        <v>0</v>
      </c>
      <c r="T20" s="3611"/>
      <c r="V20" s="614"/>
      <c r="W20" s="3707"/>
      <c r="X20" s="3708"/>
      <c r="AZ20" s="1810"/>
      <c r="BA20" s="1809">
        <v>20</v>
      </c>
    </row>
    <row r="21" spans="1:53" s="95" customFormat="1" ht="11.25" customHeight="1">
      <c r="B21" s="95" t="s">
        <v>536</v>
      </c>
      <c r="G21" s="3592"/>
      <c r="H21" s="3593"/>
      <c r="J21" s="186"/>
      <c r="K21" s="183"/>
      <c r="L21" s="186"/>
      <c r="M21" s="186"/>
      <c r="N21" s="183"/>
      <c r="P21" s="186"/>
      <c r="Q21" s="183"/>
      <c r="S21" s="3592"/>
      <c r="T21" s="3593"/>
      <c r="V21" s="614"/>
      <c r="W21" s="3707"/>
      <c r="X21" s="3708"/>
      <c r="AZ21" s="1810"/>
      <c r="BA21" s="1809">
        <v>21</v>
      </c>
    </row>
    <row r="22" spans="1:53" s="95" customFormat="1" ht="11.25" customHeight="1">
      <c r="B22" s="95" t="s">
        <v>537</v>
      </c>
      <c r="G22" s="3592"/>
      <c r="H22" s="3593"/>
      <c r="J22" s="186"/>
      <c r="K22" s="183"/>
      <c r="L22" s="186"/>
      <c r="M22" s="3610"/>
      <c r="N22" s="3611"/>
      <c r="P22" s="186"/>
      <c r="Q22" s="183"/>
      <c r="S22" s="3592"/>
      <c r="T22" s="3593"/>
      <c r="V22" s="614"/>
      <c r="W22" s="3707"/>
      <c r="X22" s="3708"/>
      <c r="AZ22" s="1810"/>
      <c r="BA22" s="1809">
        <v>22</v>
      </c>
    </row>
    <row r="23" spans="1:53" s="95" customFormat="1" ht="11.25" customHeight="1" thickBot="1">
      <c r="B23" s="95" t="s">
        <v>538</v>
      </c>
      <c r="G23" s="3717"/>
      <c r="H23" s="3718"/>
      <c r="J23" s="186"/>
      <c r="K23" s="183"/>
      <c r="L23" s="186"/>
      <c r="M23" s="3717"/>
      <c r="N23" s="3718"/>
      <c r="P23" s="186"/>
      <c r="Q23" s="183"/>
      <c r="S23" s="3717"/>
      <c r="T23" s="3718"/>
      <c r="V23" s="614"/>
      <c r="W23" s="3711"/>
      <c r="X23" s="3712"/>
      <c r="AZ23" s="1810"/>
      <c r="BA23" s="1809">
        <v>23</v>
      </c>
    </row>
    <row r="24" spans="1:53" s="95" customFormat="1" ht="12.6" customHeight="1" thickTop="1">
      <c r="F24" s="184" t="s">
        <v>531</v>
      </c>
      <c r="G24" s="3713">
        <f>SUM(G20:G23)</f>
        <v>0</v>
      </c>
      <c r="H24" s="3714"/>
      <c r="J24" s="186"/>
      <c r="K24" s="183"/>
      <c r="L24" s="186"/>
      <c r="M24" s="3713">
        <f>SUM(M22:M23)</f>
        <v>0</v>
      </c>
      <c r="N24" s="3714"/>
      <c r="P24" s="186"/>
      <c r="Q24" s="183"/>
      <c r="S24" s="3713">
        <f>SUM(S20:S23)</f>
        <v>0</v>
      </c>
      <c r="T24" s="3714"/>
      <c r="V24" s="616">
        <f>SUM(V20:V23)</f>
        <v>0</v>
      </c>
      <c r="W24" s="3715"/>
      <c r="X24" s="3716"/>
      <c r="AZ24" s="1810" t="s">
        <v>539</v>
      </c>
      <c r="BA24" s="1809">
        <v>24</v>
      </c>
    </row>
    <row r="25" spans="1:53" s="95" customFormat="1" ht="12" customHeight="1">
      <c r="B25" s="151" t="s">
        <v>540</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541</v>
      </c>
      <c r="E26" s="482" t="s">
        <v>535</v>
      </c>
      <c r="F26" s="1300">
        <f>IF('Part I-Project Identification'!$O$29="","",G26/'Part I-Project Identification'!$O$29)</f>
        <v>322580.6451612903</v>
      </c>
      <c r="G26" s="3610">
        <v>2400000</v>
      </c>
      <c r="H26" s="3611"/>
      <c r="J26" s="3610">
        <v>2280000</v>
      </c>
      <c r="K26" s="3611"/>
      <c r="L26" s="2532"/>
      <c r="M26" s="3719"/>
      <c r="N26" s="3720"/>
      <c r="P26" s="3719"/>
      <c r="Q26" s="3720"/>
      <c r="S26" s="3610">
        <v>120000</v>
      </c>
      <c r="T26" s="3611"/>
      <c r="V26" s="614"/>
      <c r="W26" s="3707"/>
      <c r="X26" s="3708"/>
      <c r="AZ26" s="1810"/>
      <c r="BA26" s="1809">
        <v>26</v>
      </c>
    </row>
    <row r="27" spans="1:53" s="95" customFormat="1" ht="11.25" customHeight="1" thickBot="1">
      <c r="B27" s="95" t="s">
        <v>542</v>
      </c>
      <c r="G27" s="3717"/>
      <c r="H27" s="3718"/>
      <c r="J27" s="3717"/>
      <c r="K27" s="3718"/>
      <c r="L27" s="187"/>
      <c r="M27" s="3721"/>
      <c r="N27" s="3721"/>
      <c r="P27" s="3721"/>
      <c r="Q27" s="3721"/>
      <c r="S27" s="3717"/>
      <c r="T27" s="3718"/>
      <c r="V27" s="614"/>
      <c r="W27" s="3711"/>
      <c r="X27" s="3712"/>
      <c r="AZ27" s="1810"/>
      <c r="BA27" s="1809">
        <v>27</v>
      </c>
    </row>
    <row r="28" spans="1:53" s="95" customFormat="1" ht="12.6" customHeight="1" thickTop="1">
      <c r="F28" s="184" t="s">
        <v>531</v>
      </c>
      <c r="G28" s="3713">
        <f>SUM(G26:G27)</f>
        <v>2400000</v>
      </c>
      <c r="H28" s="3714"/>
      <c r="J28" s="3713">
        <f>SUM(J26:J27)</f>
        <v>2280000</v>
      </c>
      <c r="K28" s="3714"/>
      <c r="L28" s="186"/>
      <c r="M28" s="3713">
        <f>M26</f>
        <v>0</v>
      </c>
      <c r="N28" s="3714"/>
      <c r="P28" s="3713">
        <f>P26</f>
        <v>0</v>
      </c>
      <c r="Q28" s="3714"/>
      <c r="S28" s="3713">
        <f>SUM(S26:S27)</f>
        <v>120000</v>
      </c>
      <c r="T28" s="3714"/>
      <c r="V28" s="616">
        <f>SUM(V26:V27)</f>
        <v>0</v>
      </c>
      <c r="W28" s="3715"/>
      <c r="X28" s="3716"/>
      <c r="AZ28" s="1810" t="s">
        <v>543</v>
      </c>
      <c r="BA28" s="1809">
        <v>28</v>
      </c>
    </row>
    <row r="29" spans="1:53" s="95" customFormat="1" ht="12" customHeight="1">
      <c r="B29" s="151" t="s">
        <v>544</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545</v>
      </c>
      <c r="G30" s="3610">
        <v>9700000</v>
      </c>
      <c r="H30" s="3611"/>
      <c r="J30" s="3610">
        <v>9700000</v>
      </c>
      <c r="K30" s="3611"/>
      <c r="L30" s="2532"/>
      <c r="M30" s="3610"/>
      <c r="N30" s="3611"/>
      <c r="P30" s="3610"/>
      <c r="Q30" s="3611"/>
      <c r="S30" s="3610"/>
      <c r="T30" s="3611"/>
      <c r="V30" s="614"/>
      <c r="W30" s="3707"/>
      <c r="X30" s="3708"/>
      <c r="AZ30" s="1810"/>
      <c r="BA30" s="1809">
        <v>30</v>
      </c>
    </row>
    <row r="31" spans="1:53" s="95" customFormat="1" ht="11.25" customHeight="1">
      <c r="B31" s="95" t="s">
        <v>546</v>
      </c>
      <c r="G31" s="3592"/>
      <c r="H31" s="3593"/>
      <c r="J31" s="3592"/>
      <c r="K31" s="3593"/>
      <c r="L31" s="2532"/>
      <c r="M31" s="3592"/>
      <c r="N31" s="3593"/>
      <c r="P31" s="3592"/>
      <c r="Q31" s="3593"/>
      <c r="S31" s="3592"/>
      <c r="T31" s="3593"/>
      <c r="V31" s="614"/>
      <c r="W31" s="3707"/>
      <c r="X31" s="3708"/>
      <c r="AZ31" s="1810"/>
      <c r="BA31" s="1809">
        <v>31</v>
      </c>
    </row>
    <row r="32" spans="1:53" s="95" customFormat="1" ht="11.25" customHeight="1">
      <c r="B32" s="95" t="s">
        <v>547</v>
      </c>
      <c r="G32" s="3592"/>
      <c r="H32" s="3593"/>
      <c r="J32" s="3592"/>
      <c r="K32" s="3593"/>
      <c r="L32" s="2532"/>
      <c r="M32" s="3592"/>
      <c r="N32" s="3593"/>
      <c r="P32" s="3592"/>
      <c r="Q32" s="3593"/>
      <c r="S32" s="3592"/>
      <c r="T32" s="3593"/>
      <c r="V32" s="614"/>
      <c r="W32" s="3707"/>
      <c r="X32" s="3708"/>
      <c r="AZ32" s="1810"/>
      <c r="BA32" s="1809">
        <v>32</v>
      </c>
    </row>
    <row r="33" spans="1:53" s="95" customFormat="1" ht="11.25" customHeight="1">
      <c r="B33" s="95" t="s">
        <v>548</v>
      </c>
      <c r="G33" s="3592"/>
      <c r="H33" s="3593"/>
      <c r="J33" s="3592"/>
      <c r="K33" s="3593"/>
      <c r="L33" s="2532"/>
      <c r="M33" s="3592"/>
      <c r="N33" s="3593"/>
      <c r="P33" s="3592"/>
      <c r="Q33" s="3593"/>
      <c r="S33" s="3592"/>
      <c r="T33" s="3593"/>
      <c r="V33" s="614"/>
      <c r="W33" s="3707"/>
      <c r="X33" s="3708"/>
      <c r="AZ33" s="1810"/>
      <c r="BA33" s="1809">
        <v>33</v>
      </c>
    </row>
    <row r="34" spans="1:53" ht="11.25" customHeight="1">
      <c r="B34" s="95" t="s">
        <v>549</v>
      </c>
      <c r="G34" s="3592"/>
      <c r="H34" s="3593"/>
      <c r="I34" s="95"/>
      <c r="J34" s="3592"/>
      <c r="K34" s="3593"/>
      <c r="L34" s="2532"/>
      <c r="M34" s="3592"/>
      <c r="N34" s="3593"/>
      <c r="O34" s="95"/>
      <c r="P34" s="3592"/>
      <c r="Q34" s="3593"/>
      <c r="R34" s="95"/>
      <c r="S34" s="3592"/>
      <c r="T34" s="3593"/>
      <c r="V34" s="614"/>
      <c r="W34" s="3711"/>
      <c r="X34" s="3712"/>
      <c r="BA34" s="1809">
        <v>34</v>
      </c>
    </row>
    <row r="35" spans="1:53" ht="11.25" customHeight="1" thickBot="1">
      <c r="B35" s="95" t="s">
        <v>550</v>
      </c>
      <c r="G35" s="3722"/>
      <c r="H35" s="3723"/>
      <c r="I35" s="95"/>
      <c r="J35" s="3722"/>
      <c r="K35" s="3723"/>
      <c r="L35" s="2532"/>
      <c r="M35" s="3722"/>
      <c r="N35" s="3723"/>
      <c r="O35" s="95"/>
      <c r="P35" s="3722"/>
      <c r="Q35" s="3723"/>
      <c r="R35" s="95"/>
      <c r="S35" s="3722"/>
      <c r="T35" s="3723"/>
      <c r="V35" s="614"/>
      <c r="W35" s="3711"/>
      <c r="X35" s="3712"/>
      <c r="BA35" s="1809">
        <v>35</v>
      </c>
    </row>
    <row r="36" spans="1:53" s="95" customFormat="1" ht="12.6" customHeight="1" thickTop="1">
      <c r="C36" s="3725"/>
      <c r="D36" s="3725"/>
      <c r="E36" s="2537"/>
      <c r="F36" s="184" t="s">
        <v>531</v>
      </c>
      <c r="G36" s="3713">
        <f>SUM(G30:G35)</f>
        <v>9700000</v>
      </c>
      <c r="H36" s="3714"/>
      <c r="J36" s="3713">
        <f>SUM(J30:J35)</f>
        <v>9700000</v>
      </c>
      <c r="K36" s="3714"/>
      <c r="L36" s="2532"/>
      <c r="M36" s="3713">
        <f>SUM(M30:M35)</f>
        <v>0</v>
      </c>
      <c r="N36" s="3714"/>
      <c r="P36" s="3713">
        <f>SUM(P30:P35)</f>
        <v>0</v>
      </c>
      <c r="Q36" s="3714"/>
      <c r="S36" s="3713">
        <f>SUM(S30:S35)</f>
        <v>0</v>
      </c>
      <c r="T36" s="3714"/>
      <c r="V36" s="616">
        <f>SUM(V30:V35)</f>
        <v>0</v>
      </c>
      <c r="W36" s="3715"/>
      <c r="X36" s="3716"/>
      <c r="AZ36" s="1810" t="s">
        <v>551</v>
      </c>
      <c r="BA36" s="1809">
        <v>36</v>
      </c>
    </row>
    <row r="37" spans="1:53" s="95" customFormat="1" ht="12" customHeight="1">
      <c r="B37" s="151" t="s">
        <v>552</v>
      </c>
      <c r="D37" s="3724" t="s">
        <v>553</v>
      </c>
      <c r="E37" s="3724"/>
      <c r="F37" s="553">
        <f>SUM(F38:F40)</f>
        <v>0.14000000000000001</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554</v>
      </c>
      <c r="D38" s="1335">
        <f>'DCA Underwriting Assumptions'!$R$52</f>
        <v>0.06</v>
      </c>
      <c r="E38" s="1336">
        <f>ROUNDDOWN(D38*(G28+G36),0)</f>
        <v>726000</v>
      </c>
      <c r="F38" s="1337">
        <f>IF(($G$28+$G$36)=0,0,G38/($G$28+$G$36))</f>
        <v>0.06</v>
      </c>
      <c r="G38" s="3610">
        <v>726000</v>
      </c>
      <c r="H38" s="3611"/>
      <c r="I38" s="96"/>
      <c r="J38" s="3610">
        <v>726000</v>
      </c>
      <c r="K38" s="3611"/>
      <c r="L38" s="2532"/>
      <c r="M38" s="3610"/>
      <c r="N38" s="3611"/>
      <c r="P38" s="3610"/>
      <c r="Q38" s="3611"/>
      <c r="S38" s="3610"/>
      <c r="T38" s="3611"/>
      <c r="V38" s="614"/>
      <c r="W38" s="3707"/>
      <c r="X38" s="3708"/>
      <c r="AZ38" s="1810"/>
      <c r="BA38" s="1809">
        <v>38</v>
      </c>
    </row>
    <row r="39" spans="1:53" s="95" customFormat="1" ht="11.25" customHeight="1">
      <c r="B39" s="95" t="s">
        <v>555</v>
      </c>
      <c r="D39" s="1335">
        <f>'DCA Underwriting Assumptions'!$R$53</f>
        <v>0.02</v>
      </c>
      <c r="E39" s="1336">
        <f>ROUNDDOWN(D39*(G28+G36),0)</f>
        <v>242000</v>
      </c>
      <c r="F39" s="1337">
        <f>IF(($G$28+$G$36)=0,0,G39/($G$28+$G$36))</f>
        <v>0.02</v>
      </c>
      <c r="G39" s="3592">
        <v>242000</v>
      </c>
      <c r="H39" s="3593"/>
      <c r="I39" s="96"/>
      <c r="J39" s="3592">
        <v>242000</v>
      </c>
      <c r="K39" s="3593"/>
      <c r="L39" s="2532"/>
      <c r="M39" s="3592"/>
      <c r="N39" s="3593"/>
      <c r="P39" s="3592"/>
      <c r="Q39" s="3593"/>
      <c r="S39" s="3592"/>
      <c r="T39" s="3593"/>
      <c r="V39" s="614"/>
      <c r="W39" s="3707"/>
      <c r="X39" s="3708"/>
      <c r="AZ39" s="1810"/>
      <c r="BA39" s="1809">
        <v>39</v>
      </c>
    </row>
    <row r="40" spans="1:53" s="95" customFormat="1" ht="11.25" customHeight="1" thickBot="1">
      <c r="B40" s="95" t="s">
        <v>556</v>
      </c>
      <c r="D40" s="1338">
        <f>'DCA Underwriting Assumptions'!$R$54</f>
        <v>0.06</v>
      </c>
      <c r="E40" s="1339">
        <f>ROUNDDOWN(D40*(G28+G36),0)</f>
        <v>726000</v>
      </c>
      <c r="F40" s="1340">
        <f>IF(($G$28+$G$36)=0,0,G40/($G$28+$G$36))</f>
        <v>0.06</v>
      </c>
      <c r="G40" s="3717">
        <v>726000</v>
      </c>
      <c r="H40" s="3718"/>
      <c r="I40" s="96"/>
      <c r="J40" s="3717">
        <v>726000</v>
      </c>
      <c r="K40" s="3718"/>
      <c r="L40" s="2532"/>
      <c r="M40" s="3717"/>
      <c r="N40" s="3718"/>
      <c r="P40" s="3717"/>
      <c r="Q40" s="3718"/>
      <c r="S40" s="3717"/>
      <c r="T40" s="3718"/>
      <c r="V40" s="614"/>
      <c r="W40" s="3711"/>
      <c r="X40" s="3712"/>
      <c r="AZ40" s="1810"/>
      <c r="BA40" s="1809">
        <v>40</v>
      </c>
    </row>
    <row r="41" spans="1:53" s="95" customFormat="1" ht="12.6" customHeight="1" thickTop="1">
      <c r="B41" s="98" t="s">
        <v>557</v>
      </c>
      <c r="D41" s="554">
        <f>SUM(D38:D40)</f>
        <v>0.14000000000000001</v>
      </c>
      <c r="E41" s="555">
        <f>SUM(E38:E40)</f>
        <v>1694000</v>
      </c>
      <c r="F41" s="1334" t="s">
        <v>531</v>
      </c>
      <c r="G41" s="3713">
        <f>SUM(G38:G40)</f>
        <v>1694000</v>
      </c>
      <c r="H41" s="3714"/>
      <c r="J41" s="3713">
        <f>SUM(J38:J40)</f>
        <v>1694000</v>
      </c>
      <c r="K41" s="3714"/>
      <c r="L41" s="186"/>
      <c r="M41" s="3713">
        <f>SUM(M38:M40)</f>
        <v>0</v>
      </c>
      <c r="N41" s="3714"/>
      <c r="P41" s="3713">
        <f>SUM(P38:P40)</f>
        <v>0</v>
      </c>
      <c r="Q41" s="3714"/>
      <c r="S41" s="3713">
        <f>SUM(S38:S40)</f>
        <v>0</v>
      </c>
      <c r="T41" s="3714"/>
      <c r="V41" s="616">
        <f>SUM(V38:V40)</f>
        <v>0</v>
      </c>
      <c r="W41" s="3715"/>
      <c r="X41" s="3716"/>
      <c r="AZ41" s="1810" t="s">
        <v>558</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559</v>
      </c>
      <c r="D43" s="2677"/>
      <c r="E43" s="2678"/>
      <c r="F43" s="2678"/>
      <c r="G43" s="3726">
        <f>G28+G36+G41</f>
        <v>13794000</v>
      </c>
      <c r="H43" s="3727"/>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560</v>
      </c>
      <c r="BA44" s="1809">
        <v>44</v>
      </c>
    </row>
    <row r="45" spans="1:53" s="95" customFormat="1" ht="12" customHeight="1">
      <c r="B45" s="151" t="s">
        <v>561</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562</v>
      </c>
      <c r="C46" s="3709" t="s">
        <v>525</v>
      </c>
      <c r="D46" s="3728"/>
      <c r="E46" s="3728"/>
      <c r="F46" s="3729"/>
      <c r="G46" s="3730"/>
      <c r="H46" s="3731"/>
      <c r="I46" s="95"/>
      <c r="J46" s="3730"/>
      <c r="K46" s="3731"/>
      <c r="L46" s="2532"/>
      <c r="M46" s="3730"/>
      <c r="N46" s="3731"/>
      <c r="O46" s="95"/>
      <c r="P46" s="3730"/>
      <c r="Q46" s="3731"/>
      <c r="R46" s="95"/>
      <c r="S46" s="3730"/>
      <c r="T46" s="3731"/>
      <c r="V46" s="614"/>
      <c r="W46" s="3732"/>
      <c r="X46" s="3733"/>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734"/>
      <c r="X47" s="3735"/>
      <c r="AZ47" s="1810" t="s">
        <v>563</v>
      </c>
      <c r="BA47" s="1809">
        <v>47</v>
      </c>
    </row>
    <row r="48" spans="1:53" s="95" customFormat="1" ht="12.6" customHeight="1">
      <c r="B48" s="1120" t="s">
        <v>564</v>
      </c>
      <c r="C48" s="1121"/>
      <c r="E48" s="3738" t="s">
        <v>565</v>
      </c>
      <c r="F48" s="2534">
        <f>C49/'Part V-Revenues &amp; Expenses'!$P$74</f>
        <v>229900</v>
      </c>
      <c r="G48" s="2535" t="s">
        <v>566</v>
      </c>
      <c r="H48" s="1122"/>
      <c r="I48" s="1122"/>
      <c r="J48" s="3740">
        <f>C49/'Part V-Revenues &amp; Expenses'!$P$76</f>
        <v>229900</v>
      </c>
      <c r="K48" s="3740"/>
      <c r="L48" s="1122"/>
      <c r="M48" s="3741" t="s">
        <v>567</v>
      </c>
      <c r="N48" s="3741"/>
      <c r="O48" s="1122"/>
      <c r="P48" s="3740">
        <f>C49/'Part V-Revenues &amp; Expenses'!$K$197</f>
        <v>205.21899547726733</v>
      </c>
      <c r="Q48" s="3740"/>
      <c r="R48" s="1122"/>
      <c r="S48" s="3742" t="s">
        <v>568</v>
      </c>
      <c r="T48" s="3743"/>
      <c r="V48" s="617"/>
      <c r="W48" s="3734"/>
      <c r="X48" s="3735"/>
      <c r="AZ48" s="1810"/>
      <c r="BA48" s="1809">
        <v>48</v>
      </c>
    </row>
    <row r="49" spans="1:53" s="95" customFormat="1" ht="12.6" customHeight="1">
      <c r="B49" s="1161" t="s">
        <v>569</v>
      </c>
      <c r="C49" s="1160">
        <f>G28+G36+G41+G46</f>
        <v>13794000</v>
      </c>
      <c r="E49" s="3739"/>
      <c r="F49" s="2533">
        <f>C49/'Part V-Revenues &amp; Expenses'!$P$188</f>
        <v>269.32989690721649</v>
      </c>
      <c r="G49" s="1123" t="s">
        <v>570</v>
      </c>
      <c r="H49" s="1124"/>
      <c r="I49" s="1124"/>
      <c r="J49" s="3744">
        <f>C49/'Part V-Revenues &amp; Expenses'!$P$190</f>
        <v>269.32989690721649</v>
      </c>
      <c r="K49" s="3744"/>
      <c r="L49" s="1124"/>
      <c r="M49" s="3745" t="s">
        <v>571</v>
      </c>
      <c r="N49" s="3745"/>
      <c r="O49" s="1124"/>
      <c r="P49" s="1124"/>
      <c r="Q49" s="1124"/>
      <c r="R49" s="1124"/>
      <c r="S49" s="1124"/>
      <c r="T49" s="1125"/>
      <c r="V49" s="617"/>
      <c r="W49" s="3736"/>
      <c r="X49" s="3737"/>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21</v>
      </c>
      <c r="B51" s="237" t="s">
        <v>572</v>
      </c>
      <c r="J51" s="3697" t="s">
        <v>512</v>
      </c>
      <c r="K51" s="3698"/>
      <c r="L51" s="183"/>
      <c r="M51" s="3701" t="s">
        <v>513</v>
      </c>
      <c r="N51" s="3702"/>
      <c r="P51" s="3697" t="s">
        <v>514</v>
      </c>
      <c r="Q51" s="3698"/>
      <c r="S51" s="3697" t="s">
        <v>515</v>
      </c>
      <c r="T51" s="3698"/>
      <c r="V51" s="617"/>
      <c r="W51" s="238" t="str">
        <f>B51</f>
        <v>DEVELOPMENT BUDGET (cont'd)</v>
      </c>
      <c r="AZ51" s="1810"/>
      <c r="BA51" s="1809">
        <v>51</v>
      </c>
    </row>
    <row r="52" spans="1:53" s="95" customFormat="1" ht="18.75" customHeight="1" thickBot="1">
      <c r="G52" s="3705" t="s">
        <v>516</v>
      </c>
      <c r="H52" s="3706"/>
      <c r="J52" s="3699"/>
      <c r="K52" s="3700"/>
      <c r="L52" s="183"/>
      <c r="M52" s="3703"/>
      <c r="N52" s="3704"/>
      <c r="P52" s="3699"/>
      <c r="Q52" s="3700"/>
      <c r="S52" s="3699"/>
      <c r="T52" s="3700"/>
      <c r="V52" s="617"/>
      <c r="W52" s="3746" t="s">
        <v>349</v>
      </c>
      <c r="X52" s="3746"/>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573</v>
      </c>
      <c r="F54" s="143" t="s">
        <v>574</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575</v>
      </c>
      <c r="D55" s="482" t="s">
        <v>576</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689700</v>
      </c>
      <c r="F55" s="1192">
        <f>G55/C49</f>
        <v>0.05</v>
      </c>
      <c r="G55" s="3730">
        <v>689700</v>
      </c>
      <c r="H55" s="3731"/>
      <c r="I55" s="95"/>
      <c r="J55" s="3730">
        <v>689700</v>
      </c>
      <c r="K55" s="3731"/>
      <c r="L55" s="2532"/>
      <c r="M55" s="3730"/>
      <c r="N55" s="3731"/>
      <c r="O55" s="95"/>
      <c r="P55" s="3730"/>
      <c r="Q55" s="3731"/>
      <c r="R55" s="95"/>
      <c r="S55" s="3730"/>
      <c r="T55" s="3731"/>
      <c r="V55" s="614"/>
      <c r="W55" s="3707"/>
      <c r="X55" s="3708"/>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732"/>
      <c r="X56" s="3733"/>
      <c r="AZ56" s="1810"/>
      <c r="BA56" s="1809">
        <v>56</v>
      </c>
    </row>
    <row r="57" spans="1:53" s="95" customFormat="1" ht="12.6" customHeight="1">
      <c r="B57" s="1126" t="s">
        <v>577</v>
      </c>
      <c r="C57" s="1121"/>
      <c r="E57" s="3749" t="s">
        <v>578</v>
      </c>
      <c r="F57" s="2534">
        <f>B58/'Part V-Revenues &amp; Expenses'!$P$74</f>
        <v>241395</v>
      </c>
      <c r="G57" s="2535" t="s">
        <v>566</v>
      </c>
      <c r="H57" s="1122"/>
      <c r="I57" s="1122"/>
      <c r="J57" s="3740">
        <f>B58/'Part V-Revenues &amp; Expenses'!$P$76</f>
        <v>241395</v>
      </c>
      <c r="K57" s="3740"/>
      <c r="L57" s="1122"/>
      <c r="M57" s="3741" t="s">
        <v>567</v>
      </c>
      <c r="N57" s="3741"/>
      <c r="O57" s="1122"/>
      <c r="P57" s="3740">
        <f>B58/'Part V-Revenues &amp; Expenses'!$K$197</f>
        <v>215.47994525113069</v>
      </c>
      <c r="Q57" s="3740"/>
      <c r="R57" s="1122"/>
      <c r="S57" s="3742" t="s">
        <v>568</v>
      </c>
      <c r="T57" s="3743"/>
      <c r="V57" s="617"/>
      <c r="W57" s="3734"/>
      <c r="X57" s="3735"/>
      <c r="AZ57" s="1810"/>
      <c r="BA57" s="1809">
        <v>57</v>
      </c>
    </row>
    <row r="58" spans="1:53" s="95" customFormat="1" ht="12.6" customHeight="1">
      <c r="B58" s="3747">
        <f>C49+G55</f>
        <v>14483700</v>
      </c>
      <c r="C58" s="3748"/>
      <c r="E58" s="3750"/>
      <c r="F58" s="2533">
        <f>B58/'Part V-Revenues &amp; Expenses'!$P$188</f>
        <v>282.79639175257734</v>
      </c>
      <c r="G58" s="1123" t="s">
        <v>570</v>
      </c>
      <c r="H58" s="1124"/>
      <c r="I58" s="1124"/>
      <c r="J58" s="3744">
        <f>B58/'Part V-Revenues &amp; Expenses'!$P$190</f>
        <v>282.79639175257734</v>
      </c>
      <c r="K58" s="3744"/>
      <c r="L58" s="1124"/>
      <c r="M58" s="3745" t="s">
        <v>571</v>
      </c>
      <c r="N58" s="3745"/>
      <c r="O58" s="1124"/>
      <c r="P58" s="1124"/>
      <c r="Q58" s="1124"/>
      <c r="R58" s="1124"/>
      <c r="S58" s="1124"/>
      <c r="T58" s="1125"/>
      <c r="V58" s="617"/>
      <c r="W58" s="3734"/>
      <c r="X58" s="3735"/>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736"/>
      <c r="X59" s="3737"/>
      <c r="AZ59" s="1810"/>
      <c r="BA59" s="1809">
        <v>59</v>
      </c>
    </row>
    <row r="60" spans="1:53" s="95" customFormat="1" ht="12" customHeight="1">
      <c r="B60" s="151" t="s">
        <v>579</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580</v>
      </c>
      <c r="G61" s="3610"/>
      <c r="H61" s="3611"/>
      <c r="J61" s="3610"/>
      <c r="K61" s="3611"/>
      <c r="L61" s="2532"/>
      <c r="M61" s="3610"/>
      <c r="N61" s="3611"/>
      <c r="P61" s="3610"/>
      <c r="Q61" s="3611"/>
      <c r="S61" s="3610"/>
      <c r="T61" s="3611"/>
      <c r="V61" s="618"/>
      <c r="W61" s="3707"/>
      <c r="X61" s="3708"/>
      <c r="AZ61" s="1810"/>
      <c r="BA61" s="1809">
        <v>61</v>
      </c>
    </row>
    <row r="62" spans="1:53" s="95" customFormat="1" ht="12" customHeight="1">
      <c r="B62" s="95" t="s">
        <v>581</v>
      </c>
      <c r="G62" s="3592"/>
      <c r="H62" s="3593"/>
      <c r="J62" s="3592"/>
      <c r="K62" s="3593"/>
      <c r="L62" s="2532"/>
      <c r="M62" s="3592"/>
      <c r="N62" s="3593"/>
      <c r="P62" s="3592"/>
      <c r="Q62" s="3593"/>
      <c r="S62" s="3592"/>
      <c r="T62" s="3593"/>
      <c r="V62" s="618"/>
      <c r="W62" s="3707"/>
      <c r="X62" s="3708"/>
      <c r="AZ62" s="1810"/>
      <c r="BA62" s="1809">
        <v>62</v>
      </c>
    </row>
    <row r="63" spans="1:53" s="95" customFormat="1" ht="12" customHeight="1">
      <c r="B63" s="95" t="s">
        <v>582</v>
      </c>
      <c r="G63" s="3592">
        <v>166103</v>
      </c>
      <c r="H63" s="3593"/>
      <c r="J63" s="3592">
        <v>166103</v>
      </c>
      <c r="K63" s="3593"/>
      <c r="L63" s="2532"/>
      <c r="M63" s="3592"/>
      <c r="N63" s="3593"/>
      <c r="P63" s="3592"/>
      <c r="Q63" s="3593"/>
      <c r="S63" s="3592"/>
      <c r="T63" s="3593"/>
      <c r="V63" s="618"/>
      <c r="W63" s="3707"/>
      <c r="X63" s="3708"/>
      <c r="AZ63" s="1810"/>
      <c r="BA63" s="1809">
        <v>63</v>
      </c>
    </row>
    <row r="64" spans="1:53" s="95" customFormat="1" ht="12" customHeight="1">
      <c r="B64" s="95" t="s">
        <v>583</v>
      </c>
      <c r="G64" s="3592">
        <v>1344228</v>
      </c>
      <c r="H64" s="3593"/>
      <c r="J64" s="3592">
        <v>764587</v>
      </c>
      <c r="K64" s="3593"/>
      <c r="L64" s="2532"/>
      <c r="M64" s="3592"/>
      <c r="N64" s="3593"/>
      <c r="P64" s="3592"/>
      <c r="Q64" s="3593"/>
      <c r="S64" s="3592">
        <v>579641</v>
      </c>
      <c r="T64" s="3593"/>
      <c r="V64" s="618"/>
      <c r="W64" s="3707"/>
      <c r="X64" s="3708"/>
      <c r="AZ64" s="1810"/>
      <c r="BA64" s="1809">
        <v>64</v>
      </c>
    </row>
    <row r="65" spans="1:53" s="95" customFormat="1" ht="12" customHeight="1">
      <c r="B65" s="95" t="s">
        <v>584</v>
      </c>
      <c r="G65" s="3592">
        <v>90000</v>
      </c>
      <c r="H65" s="3593"/>
      <c r="J65" s="3592">
        <v>65000</v>
      </c>
      <c r="K65" s="3593"/>
      <c r="L65" s="2532"/>
      <c r="M65" s="3592"/>
      <c r="N65" s="3593"/>
      <c r="P65" s="3592"/>
      <c r="Q65" s="3593"/>
      <c r="S65" s="3592">
        <v>25000</v>
      </c>
      <c r="T65" s="3593"/>
      <c r="V65" s="618"/>
      <c r="W65" s="3707"/>
      <c r="X65" s="3708"/>
      <c r="AZ65" s="1810" t="s">
        <v>585</v>
      </c>
      <c r="BA65" s="1809">
        <v>65</v>
      </c>
    </row>
    <row r="66" spans="1:53" s="95" customFormat="1" ht="12" customHeight="1">
      <c r="B66" s="95" t="s">
        <v>586</v>
      </c>
      <c r="G66" s="3592">
        <v>25000</v>
      </c>
      <c r="H66" s="3593"/>
      <c r="J66" s="3592">
        <v>25000</v>
      </c>
      <c r="K66" s="3593"/>
      <c r="L66" s="2532"/>
      <c r="M66" s="3592"/>
      <c r="N66" s="3593"/>
      <c r="P66" s="3592"/>
      <c r="Q66" s="3593"/>
      <c r="S66" s="3592"/>
      <c r="T66" s="3593"/>
      <c r="V66" s="618"/>
      <c r="W66" s="3707"/>
      <c r="X66" s="3708"/>
      <c r="AZ66" s="1810" t="s">
        <v>587</v>
      </c>
      <c r="BA66" s="1809">
        <v>66</v>
      </c>
    </row>
    <row r="67" spans="1:53" s="95" customFormat="1" ht="12" customHeight="1">
      <c r="B67" s="95" t="s">
        <v>588</v>
      </c>
      <c r="G67" s="3592">
        <v>30000</v>
      </c>
      <c r="H67" s="3593"/>
      <c r="J67" s="3592">
        <v>30000</v>
      </c>
      <c r="K67" s="3593"/>
      <c r="L67" s="2532"/>
      <c r="M67" s="3592"/>
      <c r="N67" s="3593"/>
      <c r="P67" s="3592"/>
      <c r="Q67" s="3593"/>
      <c r="S67" s="3592"/>
      <c r="T67" s="3593"/>
      <c r="V67" s="618"/>
      <c r="W67" s="3707"/>
      <c r="X67" s="3708"/>
      <c r="AZ67" s="1810" t="s">
        <v>589</v>
      </c>
      <c r="BA67" s="1809">
        <v>67</v>
      </c>
    </row>
    <row r="68" spans="1:53" s="95" customFormat="1" ht="12" customHeight="1">
      <c r="B68" s="95" t="s">
        <v>590</v>
      </c>
      <c r="G68" s="3592">
        <v>50000</v>
      </c>
      <c r="H68" s="3593"/>
      <c r="J68" s="3592">
        <v>50000</v>
      </c>
      <c r="K68" s="3593"/>
      <c r="L68" s="2532"/>
      <c r="M68" s="3592"/>
      <c r="N68" s="3593"/>
      <c r="P68" s="3592"/>
      <c r="Q68" s="3593"/>
      <c r="S68" s="3592"/>
      <c r="T68" s="3593"/>
      <c r="V68" s="618"/>
      <c r="W68" s="3707"/>
      <c r="X68" s="3708"/>
      <c r="AZ68" s="1810"/>
      <c r="BA68" s="1809">
        <v>68</v>
      </c>
    </row>
    <row r="69" spans="1:53" s="95" customFormat="1" ht="12" customHeight="1">
      <c r="B69" s="95" t="s">
        <v>591</v>
      </c>
      <c r="G69" s="3592">
        <v>75000</v>
      </c>
      <c r="H69" s="3593"/>
      <c r="J69" s="3592">
        <v>75000</v>
      </c>
      <c r="K69" s="3593"/>
      <c r="L69" s="2532"/>
      <c r="M69" s="3592"/>
      <c r="N69" s="3593"/>
      <c r="P69" s="3592"/>
      <c r="Q69" s="3593"/>
      <c r="S69" s="3592"/>
      <c r="T69" s="3593"/>
      <c r="V69" s="618"/>
      <c r="W69" s="3707"/>
      <c r="X69" s="3708"/>
      <c r="AZ69" s="1810"/>
      <c r="BA69" s="1809">
        <v>69</v>
      </c>
    </row>
    <row r="70" spans="1:53" s="95" customFormat="1" ht="12" customHeight="1">
      <c r="B70" s="190" t="s">
        <v>592</v>
      </c>
      <c r="D70" s="188"/>
      <c r="E70" s="188"/>
      <c r="F70" s="189"/>
      <c r="G70" s="3592"/>
      <c r="H70" s="3593"/>
      <c r="I70" s="96"/>
      <c r="J70" s="3592"/>
      <c r="K70" s="3593"/>
      <c r="L70" s="2532"/>
      <c r="M70" s="3592"/>
      <c r="N70" s="3593"/>
      <c r="P70" s="3592"/>
      <c r="Q70" s="3593"/>
      <c r="S70" s="3592"/>
      <c r="T70" s="3593"/>
      <c r="V70" s="618"/>
      <c r="W70" s="3707"/>
      <c r="X70" s="3708"/>
      <c r="AZ70" s="1810"/>
      <c r="BA70" s="1809">
        <v>70</v>
      </c>
    </row>
    <row r="71" spans="1:53" s="95" customFormat="1" ht="12" customHeight="1">
      <c r="A71" s="205" t="str">
        <f>IF(AND(G71&gt;0,OR(C71="",C71="&lt;Enter detailed description here; use Comments section if needed&gt;")),"X","")</f>
        <v/>
      </c>
      <c r="B71" s="98" t="s">
        <v>593</v>
      </c>
      <c r="C71" s="3753" t="s">
        <v>525</v>
      </c>
      <c r="D71" s="3753"/>
      <c r="E71" s="3753"/>
      <c r="F71" s="3754"/>
      <c r="G71" s="3592"/>
      <c r="H71" s="3593"/>
      <c r="J71" s="3592"/>
      <c r="K71" s="3593"/>
      <c r="L71" s="2532"/>
      <c r="M71" s="3592"/>
      <c r="N71" s="3593"/>
      <c r="P71" s="3592"/>
      <c r="Q71" s="3593"/>
      <c r="S71" s="3592"/>
      <c r="T71" s="3593"/>
      <c r="U71" s="204" t="str">
        <f>IF(AND(G71&gt;0,OR(C71="",C71="&lt;Enter detailed description here; use Comments section if needed&gt;")),"NO DESCRIPTION PROVIDED - please enter detailed description in Other box at left; use Comments section below if needed.","")</f>
        <v/>
      </c>
      <c r="V71" s="618"/>
      <c r="W71" s="3707"/>
      <c r="X71" s="3708"/>
      <c r="AZ71" s="1810"/>
      <c r="BA71" s="1809">
        <v>71</v>
      </c>
    </row>
    <row r="72" spans="1:53" s="95" customFormat="1" ht="12" customHeight="1" thickBot="1">
      <c r="A72" s="205" t="str">
        <f>IF(AND(G72&gt;0,OR(C72="",C72="&lt;Enter detailed description here; use Comments section if needed&gt;")),"X","")</f>
        <v/>
      </c>
      <c r="B72" s="98" t="s">
        <v>594</v>
      </c>
      <c r="C72" s="3751" t="s">
        <v>525</v>
      </c>
      <c r="D72" s="3751"/>
      <c r="E72" s="3751"/>
      <c r="F72" s="3752"/>
      <c r="G72" s="3602"/>
      <c r="H72" s="3603"/>
      <c r="J72" s="3602"/>
      <c r="K72" s="3603"/>
      <c r="L72" s="2532"/>
      <c r="M72" s="3602"/>
      <c r="N72" s="3603"/>
      <c r="P72" s="3602"/>
      <c r="Q72" s="3603"/>
      <c r="S72" s="3602"/>
      <c r="T72" s="3603"/>
      <c r="U72" s="204" t="str">
        <f>IF(AND(G72&gt;0,OR(C72="",C72="&lt;Enter detailed description here; use Comments section if needed&gt;")),"NO DESCRIPTION PROVIDED - please enter detailed description in Other box at left; use Comments section below if needed.","")</f>
        <v/>
      </c>
      <c r="V72" s="618"/>
      <c r="W72" s="3711"/>
      <c r="X72" s="3712"/>
      <c r="AZ72" s="1810"/>
      <c r="BA72" s="1809">
        <v>72</v>
      </c>
    </row>
    <row r="73" spans="1:53" s="95" customFormat="1" ht="12" customHeight="1" thickTop="1">
      <c r="F73" s="184" t="s">
        <v>531</v>
      </c>
      <c r="G73" s="3713">
        <f>SUM(G61:G72)</f>
        <v>1780331</v>
      </c>
      <c r="H73" s="3714"/>
      <c r="J73" s="3713">
        <f>SUM(J61:J72)</f>
        <v>1175690</v>
      </c>
      <c r="K73" s="3714"/>
      <c r="L73" s="186"/>
      <c r="M73" s="3713">
        <f>SUM(M61:M72)</f>
        <v>0</v>
      </c>
      <c r="N73" s="3714"/>
      <c r="P73" s="3713">
        <f>SUM(P61:P72)</f>
        <v>0</v>
      </c>
      <c r="Q73" s="3714"/>
      <c r="S73" s="3713">
        <f>SUM(S61:S72)</f>
        <v>604641</v>
      </c>
      <c r="T73" s="3714"/>
      <c r="V73" s="2679">
        <f>SUM(V61:V72)</f>
        <v>0</v>
      </c>
      <c r="W73" s="3715"/>
      <c r="X73" s="3716"/>
      <c r="AZ73" s="1810"/>
      <c r="BA73" s="1809">
        <v>73</v>
      </c>
    </row>
    <row r="74" spans="1:53" s="95" customFormat="1" ht="12" customHeight="1">
      <c r="B74" s="151" t="s">
        <v>595</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596</v>
      </c>
      <c r="G75" s="3610">
        <v>210000</v>
      </c>
      <c r="H75" s="3611"/>
      <c r="J75" s="3610">
        <v>210000</v>
      </c>
      <c r="K75" s="3611"/>
      <c r="L75" s="2532"/>
      <c r="M75" s="3610"/>
      <c r="N75" s="3611"/>
      <c r="P75" s="3610"/>
      <c r="Q75" s="3611"/>
      <c r="S75" s="3610"/>
      <c r="T75" s="3611"/>
      <c r="V75" s="614"/>
      <c r="W75" s="3707"/>
      <c r="X75" s="3708"/>
      <c r="AZ75" s="1810"/>
      <c r="BA75" s="1809">
        <v>75</v>
      </c>
    </row>
    <row r="76" spans="1:53" s="95" customFormat="1" ht="12" customHeight="1">
      <c r="B76" s="95" t="s">
        <v>597</v>
      </c>
      <c r="G76" s="3592">
        <v>60000</v>
      </c>
      <c r="H76" s="3593"/>
      <c r="J76" s="3592">
        <v>60000</v>
      </c>
      <c r="K76" s="3593"/>
      <c r="L76" s="2532"/>
      <c r="M76" s="3592"/>
      <c r="N76" s="3593"/>
      <c r="P76" s="3592"/>
      <c r="Q76" s="3593"/>
      <c r="S76" s="3592"/>
      <c r="T76" s="3593"/>
      <c r="V76" s="614"/>
      <c r="W76" s="3707"/>
      <c r="X76" s="3708"/>
      <c r="AZ76" s="1810"/>
      <c r="BA76" s="1809">
        <v>76</v>
      </c>
    </row>
    <row r="77" spans="1:53" s="95" customFormat="1" ht="12" customHeight="1">
      <c r="B77" s="95" t="s">
        <v>598</v>
      </c>
      <c r="D77" s="154"/>
      <c r="E77" s="609"/>
      <c r="F77" s="280"/>
      <c r="G77" s="3592">
        <v>20000</v>
      </c>
      <c r="H77" s="3593"/>
      <c r="J77" s="3592">
        <v>20000</v>
      </c>
      <c r="K77" s="3593"/>
      <c r="L77" s="2532"/>
      <c r="M77" s="3592"/>
      <c r="N77" s="3593"/>
      <c r="P77" s="3592"/>
      <c r="Q77" s="3593"/>
      <c r="S77" s="3592"/>
      <c r="T77" s="3593"/>
      <c r="V77" s="614"/>
      <c r="W77" s="3707"/>
      <c r="X77" s="3708"/>
      <c r="AZ77" s="1810"/>
      <c r="BA77" s="1809">
        <v>77</v>
      </c>
    </row>
    <row r="78" spans="1:53" s="95" customFormat="1" ht="12" customHeight="1">
      <c r="B78" s="95" t="s">
        <v>599</v>
      </c>
      <c r="G78" s="3592">
        <v>20000</v>
      </c>
      <c r="H78" s="3593"/>
      <c r="J78" s="3592">
        <v>20000</v>
      </c>
      <c r="K78" s="3593"/>
      <c r="L78" s="2532"/>
      <c r="M78" s="3592"/>
      <c r="N78" s="3593"/>
      <c r="P78" s="3592"/>
      <c r="Q78" s="3593"/>
      <c r="S78" s="3592"/>
      <c r="T78" s="3593"/>
      <c r="V78" s="614"/>
      <c r="W78" s="3707"/>
      <c r="X78" s="3708"/>
      <c r="AZ78" s="1810"/>
      <c r="BA78" s="1809">
        <v>78</v>
      </c>
    </row>
    <row r="79" spans="1:53" s="95" customFormat="1" ht="12" customHeight="1">
      <c r="B79" s="95" t="s">
        <v>600</v>
      </c>
      <c r="G79" s="3592">
        <v>18000</v>
      </c>
      <c r="H79" s="3593"/>
      <c r="J79" s="3592">
        <v>18000</v>
      </c>
      <c r="K79" s="3593"/>
      <c r="L79" s="2532"/>
      <c r="M79" s="3592"/>
      <c r="N79" s="3593"/>
      <c r="P79" s="3592"/>
      <c r="Q79" s="3593"/>
      <c r="S79" s="3592"/>
      <c r="T79" s="3593"/>
      <c r="V79" s="614"/>
      <c r="W79" s="3707"/>
      <c r="X79" s="3708"/>
      <c r="AZ79" s="1810" t="s">
        <v>601</v>
      </c>
      <c r="BA79" s="1809">
        <v>79</v>
      </c>
    </row>
    <row r="80" spans="1:53" s="95" customFormat="1" ht="12" customHeight="1">
      <c r="B80" s="95" t="s">
        <v>602</v>
      </c>
      <c r="G80" s="3592">
        <v>45000</v>
      </c>
      <c r="H80" s="3593"/>
      <c r="J80" s="3592">
        <v>45000</v>
      </c>
      <c r="K80" s="3593"/>
      <c r="L80" s="2532"/>
      <c r="M80" s="3592"/>
      <c r="N80" s="3593"/>
      <c r="P80" s="3592"/>
      <c r="Q80" s="3593"/>
      <c r="S80" s="3592"/>
      <c r="T80" s="3593"/>
      <c r="V80" s="614"/>
      <c r="W80" s="3707"/>
      <c r="X80" s="3708"/>
      <c r="AZ80" s="1810" t="s">
        <v>603</v>
      </c>
      <c r="BA80" s="1809">
        <v>80</v>
      </c>
    </row>
    <row r="81" spans="1:53" s="95" customFormat="1" ht="12" customHeight="1">
      <c r="B81" s="95" t="s">
        <v>604</v>
      </c>
      <c r="G81" s="3592">
        <v>110000</v>
      </c>
      <c r="H81" s="3593"/>
      <c r="J81" s="3592">
        <v>110000</v>
      </c>
      <c r="K81" s="3593"/>
      <c r="L81" s="2532"/>
      <c r="M81" s="3592"/>
      <c r="N81" s="3593"/>
      <c r="P81" s="3592"/>
      <c r="Q81" s="3593"/>
      <c r="S81" s="3592"/>
      <c r="T81" s="3593"/>
      <c r="V81" s="614"/>
      <c r="W81" s="3707"/>
      <c r="X81" s="3708"/>
      <c r="AZ81" s="1808"/>
      <c r="BA81" s="1809">
        <v>81</v>
      </c>
    </row>
    <row r="82" spans="1:53" s="95" customFormat="1" ht="12" customHeight="1">
      <c r="B82" s="95" t="s">
        <v>605</v>
      </c>
      <c r="G82" s="3592">
        <v>50000</v>
      </c>
      <c r="H82" s="3593"/>
      <c r="J82" s="3592">
        <v>25000</v>
      </c>
      <c r="K82" s="3593"/>
      <c r="L82" s="2532"/>
      <c r="M82" s="3592"/>
      <c r="N82" s="3593"/>
      <c r="P82" s="3592"/>
      <c r="Q82" s="3593"/>
      <c r="S82" s="3592">
        <v>25000</v>
      </c>
      <c r="T82" s="3593"/>
      <c r="V82" s="614"/>
      <c r="W82" s="3707"/>
      <c r="X82" s="3708"/>
      <c r="AZ82" s="1810"/>
      <c r="BA82" s="1809">
        <v>82</v>
      </c>
    </row>
    <row r="83" spans="1:53" s="95" customFormat="1" ht="12" customHeight="1">
      <c r="B83" s="95" t="s">
        <v>606</v>
      </c>
      <c r="G83" s="3592">
        <v>30000</v>
      </c>
      <c r="H83" s="3593"/>
      <c r="J83" s="3592">
        <v>30000</v>
      </c>
      <c r="K83" s="3593"/>
      <c r="L83" s="2532"/>
      <c r="M83" s="3592"/>
      <c r="N83" s="3593"/>
      <c r="P83" s="3592"/>
      <c r="Q83" s="3593"/>
      <c r="S83" s="3592"/>
      <c r="T83" s="3593"/>
      <c r="V83" s="614"/>
      <c r="W83" s="3707"/>
      <c r="X83" s="3708"/>
      <c r="AZ83" s="1810"/>
      <c r="BA83" s="1809">
        <v>83</v>
      </c>
    </row>
    <row r="84" spans="1:53" s="95" customFormat="1" ht="12" customHeight="1">
      <c r="B84" s="95" t="s">
        <v>607</v>
      </c>
      <c r="G84" s="3592">
        <v>15000</v>
      </c>
      <c r="H84" s="3593"/>
      <c r="J84" s="3592">
        <v>15000</v>
      </c>
      <c r="K84" s="3593"/>
      <c r="L84" s="2532"/>
      <c r="M84" s="3592"/>
      <c r="N84" s="3593"/>
      <c r="P84" s="3592"/>
      <c r="Q84" s="3593"/>
      <c r="S84" s="3592"/>
      <c r="T84" s="3593"/>
      <c r="V84" s="614"/>
      <c r="W84" s="3707"/>
      <c r="X84" s="3708"/>
      <c r="AZ84" s="1810"/>
      <c r="BA84" s="1809">
        <v>84</v>
      </c>
    </row>
    <row r="85" spans="1:53" s="95" customFormat="1" ht="12" customHeight="1" thickBot="1">
      <c r="A85" s="205" t="str">
        <f>IF(AND(G85&gt;0,OR(C85="",C85="&lt;Enter detailed description here; use Comments section if needed&gt;")),"X","")</f>
        <v/>
      </c>
      <c r="B85" s="98" t="s">
        <v>608</v>
      </c>
      <c r="C85" s="3709" t="s">
        <v>525</v>
      </c>
      <c r="D85" s="3709"/>
      <c r="E85" s="3709"/>
      <c r="F85" s="3710"/>
      <c r="G85" s="3602"/>
      <c r="H85" s="3603"/>
      <c r="J85" s="3602"/>
      <c r="K85" s="3603"/>
      <c r="L85" s="2532"/>
      <c r="M85" s="3602"/>
      <c r="N85" s="3603"/>
      <c r="P85" s="3602"/>
      <c r="Q85" s="3603"/>
      <c r="S85" s="3602"/>
      <c r="T85" s="3603"/>
      <c r="U85" s="204" t="str">
        <f>IF(AND(G85&gt;0,OR(C85="",C85="&lt;Enter detailed description here; use Comments section if needed&gt;")),"NO DESCRIPTION PROVIDED - please enter detailed description in Other box at left; use Comments section below if needed.","")</f>
        <v/>
      </c>
      <c r="V85" s="614"/>
      <c r="W85" s="3711"/>
      <c r="X85" s="3712"/>
      <c r="AZ85" s="1810"/>
      <c r="BA85" s="1809">
        <v>85</v>
      </c>
    </row>
    <row r="86" spans="1:53" s="95" customFormat="1" ht="12" customHeight="1" thickTop="1">
      <c r="F86" s="184" t="s">
        <v>531</v>
      </c>
      <c r="G86" s="3713">
        <f>SUM(G75:G85)</f>
        <v>578000</v>
      </c>
      <c r="H86" s="3714"/>
      <c r="J86" s="3713">
        <f>SUM(J75:J85)</f>
        <v>553000</v>
      </c>
      <c r="K86" s="3714"/>
      <c r="L86" s="186"/>
      <c r="M86" s="3713">
        <f>SUM(M75:M85)</f>
        <v>0</v>
      </c>
      <c r="N86" s="3714"/>
      <c r="P86" s="3713">
        <f>SUM(P75:P85)</f>
        <v>0</v>
      </c>
      <c r="Q86" s="3714"/>
      <c r="S86" s="3713">
        <f>SUM(S75:S85)</f>
        <v>25000</v>
      </c>
      <c r="T86" s="3714"/>
      <c r="V86" s="616">
        <f>SUM(V75:V85)</f>
        <v>0</v>
      </c>
      <c r="W86" s="3715"/>
      <c r="X86" s="3716"/>
      <c r="AZ86" s="1810" t="s">
        <v>609</v>
      </c>
      <c r="BA86" s="1809">
        <v>86</v>
      </c>
    </row>
    <row r="87" spans="1:53" ht="12" customHeight="1">
      <c r="A87" s="95"/>
      <c r="B87" s="151" t="s">
        <v>610</v>
      </c>
      <c r="C87" s="95"/>
      <c r="D87" s="503" t="s">
        <v>611</v>
      </c>
      <c r="E87" s="556">
        <f>G92/'Part V-Revenues &amp; Expenses'!$P$76</f>
        <v>5181.7</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612</v>
      </c>
      <c r="G88" s="3610">
        <v>86942</v>
      </c>
      <c r="H88" s="3611"/>
      <c r="J88" s="3610">
        <v>86942</v>
      </c>
      <c r="K88" s="3611"/>
      <c r="L88" s="2532"/>
      <c r="M88" s="3610"/>
      <c r="N88" s="3611"/>
      <c r="P88" s="3610"/>
      <c r="Q88" s="3611"/>
      <c r="S88" s="3610"/>
      <c r="T88" s="3611"/>
      <c r="V88" s="614"/>
      <c r="W88" s="3707"/>
      <c r="X88" s="3708"/>
      <c r="AZ88" s="1810"/>
      <c r="BA88" s="1809">
        <v>88</v>
      </c>
    </row>
    <row r="89" spans="1:53" s="95" customFormat="1" ht="12" customHeight="1">
      <c r="B89" s="95" t="s">
        <v>613</v>
      </c>
      <c r="G89" s="3592">
        <v>143280</v>
      </c>
      <c r="H89" s="3593"/>
      <c r="J89" s="3592">
        <v>143280</v>
      </c>
      <c r="K89" s="3593"/>
      <c r="L89" s="2532"/>
      <c r="M89" s="3592"/>
      <c r="N89" s="3593"/>
      <c r="P89" s="3592"/>
      <c r="Q89" s="3593"/>
      <c r="S89" s="3592"/>
      <c r="T89" s="3593"/>
      <c r="V89" s="614"/>
      <c r="W89" s="3707"/>
      <c r="X89" s="3708"/>
      <c r="AZ89" s="1810"/>
      <c r="BA89" s="1809">
        <v>89</v>
      </c>
    </row>
    <row r="90" spans="1:53" s="95" customFormat="1" ht="12" customHeight="1">
      <c r="B90" s="95" t="s">
        <v>614</v>
      </c>
      <c r="D90" s="192" t="s">
        <v>615</v>
      </c>
      <c r="E90" s="2680" t="s">
        <v>7474</v>
      </c>
      <c r="G90" s="3592">
        <v>41825</v>
      </c>
      <c r="H90" s="3593"/>
      <c r="I90" s="96"/>
      <c r="J90" s="3592">
        <v>41825</v>
      </c>
      <c r="K90" s="3593"/>
      <c r="L90" s="2532"/>
      <c r="M90" s="3592"/>
      <c r="N90" s="3593"/>
      <c r="P90" s="3592"/>
      <c r="Q90" s="3593"/>
      <c r="S90" s="3592"/>
      <c r="T90" s="3593"/>
      <c r="V90" s="614"/>
      <c r="W90" s="3707"/>
      <c r="X90" s="3708"/>
      <c r="AZ90" s="1810"/>
      <c r="BA90" s="1809">
        <v>90</v>
      </c>
    </row>
    <row r="91" spans="1:53" s="95" customFormat="1" ht="12" customHeight="1" thickBot="1">
      <c r="B91" s="95" t="s">
        <v>616</v>
      </c>
      <c r="D91" s="192" t="s">
        <v>615</v>
      </c>
      <c r="E91" s="626" t="s">
        <v>7474</v>
      </c>
      <c r="G91" s="3602">
        <v>38855</v>
      </c>
      <c r="H91" s="3603"/>
      <c r="I91" s="96"/>
      <c r="J91" s="3602">
        <v>38855</v>
      </c>
      <c r="K91" s="3603"/>
      <c r="L91" s="2532"/>
      <c r="M91" s="3602"/>
      <c r="N91" s="3603"/>
      <c r="P91" s="3602"/>
      <c r="Q91" s="3603"/>
      <c r="S91" s="3602"/>
      <c r="T91" s="3603"/>
      <c r="V91" s="614"/>
      <c r="W91" s="3711"/>
      <c r="X91" s="3712"/>
      <c r="AZ91" s="1810"/>
      <c r="BA91" s="1809">
        <v>91</v>
      </c>
    </row>
    <row r="92" spans="1:53" s="95" customFormat="1" ht="12" customHeight="1" thickTop="1">
      <c r="F92" s="184" t="s">
        <v>531</v>
      </c>
      <c r="G92" s="3713">
        <f>SUM(G88:G91)</f>
        <v>310902</v>
      </c>
      <c r="H92" s="3714"/>
      <c r="J92" s="3713">
        <f>SUM(J88:J91)</f>
        <v>310902</v>
      </c>
      <c r="K92" s="3714"/>
      <c r="L92" s="186"/>
      <c r="M92" s="3713">
        <f>SUM(M88:M91)</f>
        <v>0</v>
      </c>
      <c r="N92" s="3714"/>
      <c r="P92" s="3713">
        <f>SUM(P88:P91)</f>
        <v>0</v>
      </c>
      <c r="Q92" s="3714"/>
      <c r="S92" s="3713">
        <f>SUM(S88:S91)</f>
        <v>0</v>
      </c>
      <c r="T92" s="3714"/>
      <c r="V92" s="616">
        <f>SUM(V88:V91)</f>
        <v>0</v>
      </c>
      <c r="W92" s="3715"/>
      <c r="X92" s="3716"/>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21</v>
      </c>
      <c r="B94" s="237" t="s">
        <v>617</v>
      </c>
      <c r="J94" s="3697" t="s">
        <v>512</v>
      </c>
      <c r="K94" s="3698"/>
      <c r="L94" s="183"/>
      <c r="M94" s="3701" t="s">
        <v>513</v>
      </c>
      <c r="N94" s="3702"/>
      <c r="P94" s="3697" t="s">
        <v>514</v>
      </c>
      <c r="Q94" s="3698"/>
      <c r="S94" s="3697" t="s">
        <v>515</v>
      </c>
      <c r="T94" s="3698"/>
      <c r="V94" s="238" t="str">
        <f>B94</f>
        <v>DEVELOPMENT BUDGET  (cont'd)</v>
      </c>
      <c r="AZ94" s="1810"/>
      <c r="BA94" s="1809">
        <v>94</v>
      </c>
    </row>
    <row r="95" spans="1:53" s="95" customFormat="1" ht="18" customHeight="1" thickBot="1">
      <c r="G95" s="3705" t="s">
        <v>516</v>
      </c>
      <c r="H95" s="3706"/>
      <c r="J95" s="3699"/>
      <c r="K95" s="3700"/>
      <c r="L95" s="183"/>
      <c r="M95" s="3703"/>
      <c r="N95" s="3704"/>
      <c r="P95" s="3699"/>
      <c r="Q95" s="3700"/>
      <c r="S95" s="3699"/>
      <c r="T95" s="3700"/>
      <c r="V95" s="159" t="s">
        <v>349</v>
      </c>
      <c r="X95" s="159"/>
      <c r="AZ95" s="1810"/>
      <c r="BA95" s="1809">
        <v>95</v>
      </c>
    </row>
    <row r="96" spans="1:53" s="95" customFormat="1" ht="12" customHeight="1">
      <c r="B96" s="151" t="s">
        <v>618</v>
      </c>
      <c r="J96" s="186"/>
      <c r="K96" s="186"/>
      <c r="M96" s="186"/>
      <c r="N96" s="186"/>
      <c r="O96" s="185" t="str">
        <f>B96</f>
        <v>PERMANENT FINANCING FEES</v>
      </c>
      <c r="P96" s="186"/>
      <c r="Q96" s="186"/>
      <c r="S96" s="186"/>
      <c r="T96" s="186"/>
      <c r="V96" s="617"/>
      <c r="W96" s="95" t="str">
        <f>B96</f>
        <v>PERMANENT FINANCING FEES</v>
      </c>
      <c r="AZ96" s="1810" t="s">
        <v>619</v>
      </c>
      <c r="BA96" s="1809">
        <v>96</v>
      </c>
    </row>
    <row r="97" spans="1:53" s="95" customFormat="1" ht="12" customHeight="1">
      <c r="B97" s="95" t="s">
        <v>620</v>
      </c>
      <c r="G97" s="3610">
        <v>41500</v>
      </c>
      <c r="H97" s="3611"/>
      <c r="J97" s="3755"/>
      <c r="K97" s="3755"/>
      <c r="L97" s="2532"/>
      <c r="M97" s="3755"/>
      <c r="N97" s="3755"/>
      <c r="P97" s="3755"/>
      <c r="Q97" s="3755"/>
      <c r="S97" s="3610">
        <v>41500</v>
      </c>
      <c r="T97" s="3611"/>
      <c r="V97" s="614"/>
      <c r="W97" s="3707"/>
      <c r="X97" s="3708"/>
      <c r="AZ97" s="1810" t="s">
        <v>621</v>
      </c>
      <c r="BA97" s="1809">
        <v>97</v>
      </c>
    </row>
    <row r="98" spans="1:53" s="95" customFormat="1" ht="12" customHeight="1">
      <c r="B98" s="95" t="s">
        <v>622</v>
      </c>
      <c r="G98" s="3592">
        <v>20000</v>
      </c>
      <c r="H98" s="3593"/>
      <c r="J98" s="3755"/>
      <c r="K98" s="3755"/>
      <c r="L98" s="2532"/>
      <c r="M98" s="3755"/>
      <c r="N98" s="3755"/>
      <c r="P98" s="3755"/>
      <c r="Q98" s="3755"/>
      <c r="S98" s="3592">
        <v>20000</v>
      </c>
      <c r="T98" s="3593"/>
      <c r="V98" s="614"/>
      <c r="W98" s="3707"/>
      <c r="X98" s="3708"/>
      <c r="AZ98" s="1810"/>
      <c r="BA98" s="1809">
        <v>98</v>
      </c>
    </row>
    <row r="99" spans="1:53" s="95" customFormat="1" ht="12" customHeight="1">
      <c r="B99" s="95" t="s">
        <v>591</v>
      </c>
      <c r="G99" s="3592"/>
      <c r="H99" s="3593"/>
      <c r="J99" s="3755"/>
      <c r="K99" s="3755"/>
      <c r="L99" s="2532"/>
      <c r="M99" s="3755"/>
      <c r="N99" s="3755"/>
      <c r="P99" s="3755"/>
      <c r="Q99" s="3755"/>
      <c r="S99" s="3592"/>
      <c r="T99" s="3593"/>
      <c r="V99" s="614"/>
      <c r="W99" s="3707"/>
      <c r="X99" s="3708"/>
      <c r="AZ99" s="1810"/>
      <c r="BA99" s="1809">
        <v>99</v>
      </c>
    </row>
    <row r="100" spans="1:53" s="95" customFormat="1" ht="12" customHeight="1">
      <c r="B100" s="95" t="s">
        <v>623</v>
      </c>
      <c r="G100" s="3592"/>
      <c r="H100" s="3593"/>
      <c r="J100" s="3755"/>
      <c r="K100" s="3755"/>
      <c r="L100" s="2532"/>
      <c r="M100" s="3755"/>
      <c r="N100" s="3755"/>
      <c r="P100" s="3755"/>
      <c r="Q100" s="3755"/>
      <c r="S100" s="3592"/>
      <c r="T100" s="3593"/>
      <c r="V100" s="614"/>
      <c r="W100" s="3707"/>
      <c r="X100" s="3708"/>
      <c r="AZ100" s="1810"/>
      <c r="BA100" s="1809">
        <v>100</v>
      </c>
    </row>
    <row r="101" spans="1:53" s="95" customFormat="1" ht="12" customHeight="1">
      <c r="B101" s="95" t="s">
        <v>624</v>
      </c>
      <c r="G101" s="3592"/>
      <c r="H101" s="3593"/>
      <c r="J101" s="3755"/>
      <c r="K101" s="3755"/>
      <c r="L101" s="2532"/>
      <c r="M101" s="3755"/>
      <c r="N101" s="3755"/>
      <c r="P101" s="3755"/>
      <c r="Q101" s="3755"/>
      <c r="S101" s="3592"/>
      <c r="T101" s="3593"/>
      <c r="V101" s="614"/>
      <c r="W101" s="3707"/>
      <c r="X101" s="3708"/>
      <c r="AZ101" s="1810"/>
      <c r="BA101" s="1809">
        <v>101</v>
      </c>
    </row>
    <row r="102" spans="1:53" s="95" customFormat="1" ht="12" customHeight="1" thickBot="1">
      <c r="A102" s="205" t="str">
        <f>IF(AND(G102&gt;0,OR(C102="",C102="&lt;Enter detailed description here; use Comments section if needed&gt;")),"X","")</f>
        <v/>
      </c>
      <c r="B102" s="98" t="s">
        <v>625</v>
      </c>
      <c r="C102" s="3709" t="s">
        <v>525</v>
      </c>
      <c r="D102" s="3709"/>
      <c r="E102" s="3709"/>
      <c r="F102" s="3710"/>
      <c r="G102" s="3602"/>
      <c r="H102" s="3603"/>
      <c r="J102" s="3755"/>
      <c r="K102" s="3755"/>
      <c r="L102" s="2532"/>
      <c r="M102" s="3755"/>
      <c r="N102" s="3755"/>
      <c r="P102" s="3755"/>
      <c r="Q102" s="3755"/>
      <c r="S102" s="3602"/>
      <c r="T102" s="3603"/>
      <c r="U102" s="204" t="str">
        <f>IF(AND(G102&gt;0,OR(C102="",C102="&lt;Enter detailed description here; use Comments section if needed&gt;")),"NO DESCRIPTION PROVIDED - please enter detailed description in Other box at left; use Comments section below if needed.","")</f>
        <v/>
      </c>
      <c r="V102" s="614"/>
      <c r="W102" s="3711"/>
      <c r="X102" s="3712"/>
      <c r="AZ102" s="1810"/>
      <c r="BA102" s="1809">
        <v>102</v>
      </c>
    </row>
    <row r="103" spans="1:53" s="95" customFormat="1" ht="12" customHeight="1" thickTop="1">
      <c r="F103" s="184" t="s">
        <v>531</v>
      </c>
      <c r="G103" s="3713">
        <f>SUM(G97:G102)</f>
        <v>61500</v>
      </c>
      <c r="H103" s="3714"/>
      <c r="J103" s="3755"/>
      <c r="K103" s="3755"/>
      <c r="L103" s="186"/>
      <c r="M103" s="3755"/>
      <c r="N103" s="3755"/>
      <c r="P103" s="3755"/>
      <c r="Q103" s="3755"/>
      <c r="S103" s="3713">
        <f>SUM(S97:S102)</f>
        <v>61500</v>
      </c>
      <c r="T103" s="3714"/>
      <c r="V103" s="616">
        <f>SUM(V97:V102)</f>
        <v>0</v>
      </c>
      <c r="W103" s="3715"/>
      <c r="X103" s="3716"/>
      <c r="AZ103" s="1810"/>
      <c r="BA103" s="1809">
        <v>103</v>
      </c>
    </row>
    <row r="104" spans="1:53" s="95" customFormat="1" ht="12" customHeight="1">
      <c r="B104" s="151" t="s">
        <v>626</v>
      </c>
      <c r="J104" s="186"/>
      <c r="K104" s="186"/>
      <c r="M104" s="186"/>
      <c r="N104" s="186"/>
      <c r="O104" s="185" t="str">
        <f>B104</f>
        <v>DCA-RELATED COSTS</v>
      </c>
      <c r="P104" s="186"/>
      <c r="Q104" s="186"/>
      <c r="S104" s="186"/>
      <c r="T104" s="186"/>
      <c r="V104" s="617"/>
      <c r="W104" s="95" t="str">
        <f>B104</f>
        <v>DCA-RELATED COSTS</v>
      </c>
      <c r="AA104" s="98" t="s">
        <v>627</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628</v>
      </c>
      <c r="G105" s="3610"/>
      <c r="H105" s="3611"/>
      <c r="J105" s="186"/>
      <c r="K105" s="186"/>
      <c r="L105" s="2532"/>
      <c r="M105" s="186"/>
      <c r="N105" s="186"/>
      <c r="P105" s="186"/>
      <c r="Q105" s="186"/>
      <c r="S105" s="3610"/>
      <c r="T105" s="3611"/>
      <c r="V105" s="614"/>
      <c r="W105" s="3707"/>
      <c r="X105" s="3708"/>
      <c r="Y105" s="3756" t="s">
        <v>629</v>
      </c>
      <c r="AA105" s="146" t="s">
        <v>630</v>
      </c>
      <c r="AB105" s="98"/>
      <c r="AC105" s="98"/>
      <c r="AD105" s="1323" t="str">
        <f>'Part V-Revenues &amp; Expenses'!$O$62</f>
        <v>Income Averaging</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592">
        <v>10000</v>
      </c>
      <c r="H106" s="3593"/>
      <c r="J106" s="186"/>
      <c r="K106" s="186"/>
      <c r="L106" s="193"/>
      <c r="M106" s="186"/>
      <c r="N106" s="186"/>
      <c r="P106" s="186"/>
      <c r="Q106" s="186"/>
      <c r="S106" s="3592">
        <v>10000</v>
      </c>
      <c r="T106" s="3593"/>
      <c r="V106" s="614"/>
      <c r="W106" s="3707"/>
      <c r="X106" s="3708"/>
      <c r="Y106" s="3756"/>
      <c r="AA106" s="1325" t="s">
        <v>631</v>
      </c>
      <c r="AB106" s="1325"/>
      <c r="AC106" s="1325"/>
      <c r="AD106" s="1326">
        <f>'Part V-Revenues &amp; Expenses'!$P$76</f>
        <v>60</v>
      </c>
      <c r="AZ106" s="1810" t="s">
        <v>632</v>
      </c>
      <c r="BA106" s="1809">
        <v>106</v>
      </c>
    </row>
    <row r="107" spans="1:53" s="95" customFormat="1" ht="12.6" customHeight="1">
      <c r="B107" s="95" t="s">
        <v>633</v>
      </c>
      <c r="G107" s="3592">
        <v>2000</v>
      </c>
      <c r="H107" s="3593"/>
      <c r="J107" s="186"/>
      <c r="K107" s="186"/>
      <c r="L107" s="193"/>
      <c r="M107" s="186"/>
      <c r="N107" s="186"/>
      <c r="P107" s="186"/>
      <c r="Q107" s="186"/>
      <c r="S107" s="3592">
        <v>2000</v>
      </c>
      <c r="T107" s="3593"/>
      <c r="V107" s="614"/>
      <c r="W107" s="3707"/>
      <c r="X107" s="3708"/>
      <c r="Y107" s="3756"/>
      <c r="Z107" s="203"/>
      <c r="AA107" s="137" t="s">
        <v>634</v>
      </c>
      <c r="AB107" s="98"/>
      <c r="AC107" s="98"/>
      <c r="AD107" s="98"/>
      <c r="AF107" s="1328" t="s">
        <v>635</v>
      </c>
      <c r="AZ107" s="1810" t="s">
        <v>636</v>
      </c>
      <c r="BA107" s="1809">
        <v>107</v>
      </c>
    </row>
    <row r="108" spans="1:53" s="95" customFormat="1" ht="12.6" customHeight="1">
      <c r="B108" s="95" t="s">
        <v>637</v>
      </c>
      <c r="E108" s="3757">
        <f>ROUNDUP('DCA Underwriting Assumptions'!$Q$70*J192,0)</f>
        <v>108000</v>
      </c>
      <c r="F108" s="3758"/>
      <c r="G108" s="3592">
        <v>108000</v>
      </c>
      <c r="H108" s="3593"/>
      <c r="J108" s="557" t="str">
        <f>IF(E108&gt;G108,"WARNING!  LIHTC Allocation Fee proposed is below minimum required.","")</f>
        <v/>
      </c>
      <c r="K108" s="186"/>
      <c r="L108" s="2532"/>
      <c r="M108" s="186"/>
      <c r="N108" s="186"/>
      <c r="P108" s="186"/>
      <c r="Q108" s="186"/>
      <c r="S108" s="3592">
        <v>108000</v>
      </c>
      <c r="T108" s="3593"/>
      <c r="V108" s="614"/>
      <c r="W108" s="3707"/>
      <c r="X108" s="3708"/>
      <c r="Y108" s="3756"/>
      <c r="Z108" s="203"/>
      <c r="AA108" s="98" t="s">
        <v>638</v>
      </c>
      <c r="AB108" s="98"/>
      <c r="AC108" s="98"/>
      <c r="AD108" s="2611">
        <f>'Part V-Revenues &amp; Expenses'!P159+'Part V-Revenues &amp; Expenses'!P160</f>
        <v>0</v>
      </c>
      <c r="AF108" s="1327">
        <f>AD108*'DCA Underwriting Assumptions'!$Q$77</f>
        <v>0</v>
      </c>
      <c r="AZ108" s="1810" t="s">
        <v>639</v>
      </c>
      <c r="BA108" s="1809">
        <v>108</v>
      </c>
    </row>
    <row r="109" spans="1:53" s="95" customFormat="1" ht="12.6" customHeight="1">
      <c r="B109" s="95" t="s">
        <v>640</v>
      </c>
      <c r="E109" s="3757">
        <f>AF111+AF115</f>
        <v>60000</v>
      </c>
      <c r="F109" s="3758"/>
      <c r="G109" s="3592">
        <v>60000</v>
      </c>
      <c r="H109" s="3593"/>
      <c r="I109" s="3759" t="str">
        <f>IF(E109&gt;G109,"WARNING!  LIHTC Compliance Fee proposed is below minimum required.","")</f>
        <v/>
      </c>
      <c r="J109" s="3760"/>
      <c r="K109" s="3760"/>
      <c r="L109" s="3760"/>
      <c r="M109" s="3760"/>
      <c r="N109" s="3760"/>
      <c r="O109" s="3760"/>
      <c r="P109" s="3760"/>
      <c r="Q109" s="3760"/>
      <c r="R109" s="3761"/>
      <c r="S109" s="3592">
        <v>60000</v>
      </c>
      <c r="T109" s="3593"/>
      <c r="V109" s="614"/>
      <c r="W109" s="3707"/>
      <c r="X109" s="3708"/>
      <c r="Y109" s="3756"/>
      <c r="Z109" s="203"/>
      <c r="AA109" s="98" t="s">
        <v>641</v>
      </c>
      <c r="AB109" s="98"/>
      <c r="AC109" s="98"/>
      <c r="AD109" s="2611">
        <f>'Part V-Revenues &amp; Expenses'!$P$163+'Part V-Revenues &amp; Expenses'!$P$164</f>
        <v>0</v>
      </c>
      <c r="AF109" s="1327">
        <f>AD109*'DCA Underwriting Assumptions'!$Q$77</f>
        <v>0</v>
      </c>
      <c r="AZ109" s="1810"/>
      <c r="BA109" s="1809">
        <v>109</v>
      </c>
    </row>
    <row r="110" spans="1:53" s="95" customFormat="1" ht="12.6" customHeight="1">
      <c r="B110" s="95" t="s">
        <v>642</v>
      </c>
      <c r="F110" s="699"/>
      <c r="G110" s="3592">
        <v>3000</v>
      </c>
      <c r="H110" s="3593"/>
      <c r="I110" s="3759"/>
      <c r="J110" s="3760"/>
      <c r="K110" s="3760"/>
      <c r="L110" s="3760"/>
      <c r="M110" s="3760"/>
      <c r="N110" s="3760"/>
      <c r="O110" s="3760"/>
      <c r="P110" s="3760"/>
      <c r="Q110" s="3760"/>
      <c r="R110" s="3761"/>
      <c r="S110" s="3592">
        <v>3000</v>
      </c>
      <c r="T110" s="3593"/>
      <c r="V110" s="614"/>
      <c r="W110" s="3707"/>
      <c r="X110" s="3708"/>
      <c r="Y110" s="3756"/>
      <c r="AA110" s="98" t="s">
        <v>643</v>
      </c>
      <c r="AB110" s="98"/>
      <c r="AC110" s="98"/>
      <c r="AD110" s="2611">
        <f>'Part V-Revenues &amp; Expenses'!$P$165+'Part V-Revenues &amp; Expenses'!$P$166</f>
        <v>0</v>
      </c>
      <c r="AF110" s="1327">
        <f>AD110*'DCA Underwriting Assumptions'!$Q$77</f>
        <v>0</v>
      </c>
      <c r="AZ110" s="1810"/>
      <c r="BA110" s="1809">
        <v>110</v>
      </c>
    </row>
    <row r="111" spans="1:53" s="95" customFormat="1" ht="12.6" customHeight="1">
      <c r="B111" s="95" t="s">
        <v>644</v>
      </c>
      <c r="F111" s="699">
        <f>ROUNDUP('DCA Underwriting Assumptions'!$Q$73,0)</f>
        <v>8000</v>
      </c>
      <c r="G111" s="3592">
        <v>8000</v>
      </c>
      <c r="H111" s="3593"/>
      <c r="J111" s="96"/>
      <c r="K111" s="96"/>
      <c r="L111" s="96"/>
      <c r="M111" s="96"/>
      <c r="N111" s="96"/>
      <c r="O111" s="96"/>
      <c r="P111" s="96"/>
      <c r="Q111" s="96"/>
      <c r="S111" s="3592">
        <v>8000</v>
      </c>
      <c r="T111" s="3593"/>
      <c r="V111" s="614"/>
      <c r="W111" s="3707"/>
      <c r="X111" s="3708"/>
      <c r="AA111" s="98"/>
      <c r="AB111" s="1033" t="s">
        <v>645</v>
      </c>
      <c r="AC111" s="98"/>
      <c r="AD111" s="2681">
        <f>SUM(AD108:AD110)</f>
        <v>0</v>
      </c>
      <c r="AF111" s="2682">
        <f>SUM(AF108:AF110)</f>
        <v>0</v>
      </c>
      <c r="AZ111" s="1810"/>
      <c r="BA111" s="1809">
        <v>111</v>
      </c>
    </row>
    <row r="112" spans="1:53" s="95" customFormat="1" ht="12.6" customHeight="1">
      <c r="A112" s="205" t="str">
        <f>IF(AND(G112&gt;0,OR(C112="",C112="&lt;Enter detailed description here; use Comments section if needed&gt;")),"X","")</f>
        <v/>
      </c>
      <c r="B112" s="98" t="s">
        <v>646</v>
      </c>
      <c r="C112" s="3753" t="s">
        <v>525</v>
      </c>
      <c r="D112" s="3753"/>
      <c r="E112" s="3753"/>
      <c r="F112" s="3754"/>
      <c r="G112" s="3592"/>
      <c r="H112" s="3593"/>
      <c r="J112" s="96"/>
      <c r="K112" s="96"/>
      <c r="L112" s="96"/>
      <c r="M112" s="96"/>
      <c r="N112" s="96"/>
      <c r="O112" s="96"/>
      <c r="P112" s="96"/>
      <c r="Q112" s="96"/>
      <c r="S112" s="3592"/>
      <c r="T112" s="3593"/>
      <c r="U112" s="204" t="str">
        <f>IF(AND(G112&gt;0,OR(C112="",C112="&lt;Enter detailed description here; use Comments section if needed&gt;")),"NO DESCRIPTION PROVIDED - please enter detailed description in Other box at left; use Comments section below if needed.","")</f>
        <v/>
      </c>
      <c r="V112" s="614"/>
      <c r="W112" s="3707"/>
      <c r="X112" s="3708"/>
      <c r="AA112" s="137" t="s">
        <v>647</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646</v>
      </c>
      <c r="C113" s="3751" t="s">
        <v>525</v>
      </c>
      <c r="D113" s="3751"/>
      <c r="E113" s="3751"/>
      <c r="F113" s="3752"/>
      <c r="G113" s="3602"/>
      <c r="H113" s="3603"/>
      <c r="J113" s="96"/>
      <c r="K113" s="96"/>
      <c r="L113" s="96"/>
      <c r="M113" s="96"/>
      <c r="N113" s="96"/>
      <c r="O113" s="96"/>
      <c r="P113" s="96"/>
      <c r="Q113" s="96"/>
      <c r="S113" s="3602"/>
      <c r="T113" s="3603"/>
      <c r="U113" s="204" t="str">
        <f>IF(AND(G113&gt;0,OR(C113="",C113="&lt;Enter detailed description here; use Comments section if needed&gt;")),"NO DESCRIPTION PROVIDED - please enter detailed description in Other box at left; use Comments section below if needed.","")</f>
        <v/>
      </c>
      <c r="V113" s="614"/>
      <c r="W113" s="3711"/>
      <c r="X113" s="3712"/>
      <c r="AA113" s="98" t="s">
        <v>648</v>
      </c>
      <c r="AB113" s="98"/>
      <c r="AC113" s="143"/>
      <c r="AD113" s="2611">
        <f>'Part V-Revenues &amp; Expenses'!$P$150</f>
        <v>60</v>
      </c>
      <c r="AF113" s="1327">
        <f>IF($AD$105="Income Averaging",AD113*'DCA Underwriting Assumptions'!$Q$75,AD113*'DCA Underwriting Assumptions'!$Q$74)</f>
        <v>60000</v>
      </c>
      <c r="AZ113" s="1810" t="s">
        <v>649</v>
      </c>
      <c r="BA113" s="1809">
        <v>113</v>
      </c>
    </row>
    <row r="114" spans="1:53" s="95" customFormat="1" ht="12.6" customHeight="1" thickTop="1">
      <c r="F114" s="184" t="s">
        <v>531</v>
      </c>
      <c r="G114" s="3713">
        <f>SUM(G105:G113)</f>
        <v>191000</v>
      </c>
      <c r="H114" s="3714"/>
      <c r="J114" s="186"/>
      <c r="K114" s="186"/>
      <c r="L114" s="2532"/>
      <c r="M114" s="186"/>
      <c r="N114" s="186"/>
      <c r="P114" s="186"/>
      <c r="Q114" s="186"/>
      <c r="S114" s="3713">
        <f>SUM(S105:S113)</f>
        <v>191000</v>
      </c>
      <c r="T114" s="3714"/>
      <c r="V114" s="616">
        <f>SUM(V105:V113)</f>
        <v>0</v>
      </c>
      <c r="W114" s="3762"/>
      <c r="X114" s="3763"/>
      <c r="AA114" s="98" t="s">
        <v>650</v>
      </c>
      <c r="AB114" s="98"/>
      <c r="AC114" s="150"/>
      <c r="AD114" s="2611">
        <f>'Part V-Revenues &amp; Expenses'!$P$161+'Part V-Revenues &amp; Expenses'!$P$162</f>
        <v>0</v>
      </c>
      <c r="AF114" s="1327">
        <f>IF($AD$105="Income Averaging",AD114*'DCA Underwriting Assumptions'!$Q$75,AD114*'DCA Underwriting Assumptions'!$Q$74)</f>
        <v>0</v>
      </c>
      <c r="AZ114" s="1810" t="s">
        <v>651</v>
      </c>
      <c r="BA114" s="1809">
        <v>114</v>
      </c>
    </row>
    <row r="115" spans="1:53" s="95" customFormat="1" ht="12" customHeight="1">
      <c r="B115" s="151" t="s">
        <v>652</v>
      </c>
      <c r="J115" s="186"/>
      <c r="K115" s="186"/>
      <c r="M115" s="186"/>
      <c r="N115" s="186"/>
      <c r="O115" s="185" t="str">
        <f>B115</f>
        <v>EQUITY COSTS</v>
      </c>
      <c r="P115" s="186"/>
      <c r="Q115" s="186"/>
      <c r="S115" s="186"/>
      <c r="T115" s="186"/>
      <c r="V115" s="617"/>
      <c r="W115" s="95" t="str">
        <f>B115</f>
        <v>EQUITY COSTS</v>
      </c>
      <c r="AA115" s="98"/>
      <c r="AB115" s="1033" t="s">
        <v>645</v>
      </c>
      <c r="AC115" s="98"/>
      <c r="AD115" s="2681">
        <f>SUM(AD113:AD114)</f>
        <v>60</v>
      </c>
      <c r="AF115" s="2682">
        <f>SUM(AF113:AF114)</f>
        <v>60000</v>
      </c>
      <c r="AZ115" s="1794"/>
      <c r="BA115" s="1809">
        <v>115</v>
      </c>
    </row>
    <row r="116" spans="1:53" s="95" customFormat="1" ht="12.6" customHeight="1">
      <c r="B116" s="95" t="s">
        <v>653</v>
      </c>
      <c r="G116" s="3610">
        <v>3000</v>
      </c>
      <c r="H116" s="3611"/>
      <c r="J116" s="3755"/>
      <c r="K116" s="3755"/>
      <c r="L116" s="2532"/>
      <c r="M116" s="3755"/>
      <c r="N116" s="3755"/>
      <c r="P116" s="3755"/>
      <c r="Q116" s="3755"/>
      <c r="S116" s="3610">
        <v>3000</v>
      </c>
      <c r="T116" s="3611"/>
      <c r="V116" s="614"/>
      <c r="W116" s="3707"/>
      <c r="X116" s="3708"/>
      <c r="AZ116" s="1794"/>
      <c r="BA116" s="1809">
        <v>116</v>
      </c>
    </row>
    <row r="117" spans="1:53" s="95" customFormat="1" ht="12.6" customHeight="1">
      <c r="B117" s="95" t="s">
        <v>654</v>
      </c>
      <c r="G117" s="3592"/>
      <c r="H117" s="3593"/>
      <c r="J117" s="3755"/>
      <c r="K117" s="3755"/>
      <c r="L117" s="2532"/>
      <c r="M117" s="3755"/>
      <c r="N117" s="3755"/>
      <c r="P117" s="3755"/>
      <c r="Q117" s="3755"/>
      <c r="S117" s="3592"/>
      <c r="T117" s="3593"/>
      <c r="V117" s="614"/>
      <c r="W117" s="3707"/>
      <c r="X117" s="3708"/>
      <c r="AZ117" s="1794"/>
      <c r="BA117" s="1809">
        <v>117</v>
      </c>
    </row>
    <row r="118" spans="1:53" s="95" customFormat="1" ht="12.6" customHeight="1">
      <c r="B118" s="95" t="s">
        <v>655</v>
      </c>
      <c r="G118" s="3592">
        <v>40000</v>
      </c>
      <c r="H118" s="3593"/>
      <c r="J118" s="3755"/>
      <c r="K118" s="3755"/>
      <c r="L118" s="2532"/>
      <c r="M118" s="3755"/>
      <c r="N118" s="3755"/>
      <c r="P118" s="3755"/>
      <c r="Q118" s="3755"/>
      <c r="S118" s="3592">
        <v>40000</v>
      </c>
      <c r="T118" s="3593"/>
      <c r="V118" s="614"/>
      <c r="W118" s="3707"/>
      <c r="X118" s="3708"/>
      <c r="AZ118" s="1794"/>
      <c r="BA118" s="1809">
        <v>118</v>
      </c>
    </row>
    <row r="119" spans="1:53" s="95" customFormat="1" ht="12.6" customHeight="1">
      <c r="A119" s="205" t="str">
        <f>IF(AND(G119&gt;0,OR(C119="",C119="&lt;Enter detailed description here; use Comments section if needed&gt;")),"X","")</f>
        <v/>
      </c>
      <c r="B119" s="98" t="s">
        <v>646</v>
      </c>
      <c r="C119" s="3709" t="s">
        <v>525</v>
      </c>
      <c r="D119" s="3709"/>
      <c r="E119" s="3709"/>
      <c r="F119" s="3710"/>
      <c r="G119" s="3602"/>
      <c r="H119" s="3603"/>
      <c r="J119" s="3755"/>
      <c r="K119" s="3755"/>
      <c r="L119" s="2532"/>
      <c r="M119" s="3755"/>
      <c r="N119" s="3755"/>
      <c r="P119" s="3755"/>
      <c r="Q119" s="3755"/>
      <c r="S119" s="3602"/>
      <c r="T119" s="3603"/>
      <c r="U119" s="204" t="str">
        <f>IF(AND(G119&gt;0,OR(C119="",C119="&lt;Enter detailed description here; use Comments section if needed&gt;")),"NO DESCRIPTION PROVIDED - please enter detailed description in Other box at left; use Comments section below if needed.","")</f>
        <v/>
      </c>
      <c r="V119" s="614"/>
      <c r="W119" s="3711"/>
      <c r="X119" s="3712"/>
      <c r="AH119" s="3853" t="s">
        <v>656</v>
      </c>
      <c r="AZ119" s="1794"/>
      <c r="BA119" s="1809">
        <v>119</v>
      </c>
    </row>
    <row r="120" spans="1:53" s="95" customFormat="1" ht="12.6" customHeight="1">
      <c r="F120" s="184" t="s">
        <v>531</v>
      </c>
      <c r="G120" s="3713">
        <f>SUM(G116:G119)</f>
        <v>43000</v>
      </c>
      <c r="H120" s="3714"/>
      <c r="J120" s="3755"/>
      <c r="K120" s="3755"/>
      <c r="L120" s="2532"/>
      <c r="M120" s="3755"/>
      <c r="N120" s="3755"/>
      <c r="P120" s="3755"/>
      <c r="Q120" s="3755"/>
      <c r="S120" s="3713">
        <f>SUM(S116:S119)</f>
        <v>43000</v>
      </c>
      <c r="T120" s="3714"/>
      <c r="V120" s="616">
        <f>SUM(V116:V119)</f>
        <v>0</v>
      </c>
      <c r="W120" s="3715"/>
      <c r="X120" s="3716"/>
      <c r="AC120" s="3764" t="s">
        <v>657</v>
      </c>
      <c r="AD120" s="3764" t="s">
        <v>658</v>
      </c>
      <c r="AF120" s="3764" t="s">
        <v>659</v>
      </c>
      <c r="AH120" s="3853"/>
      <c r="AI120" s="3853" t="s">
        <v>660</v>
      </c>
      <c r="AJ120" s="3855" t="s">
        <v>661</v>
      </c>
      <c r="AK120" s="3855"/>
      <c r="AZ120" s="1794"/>
      <c r="BA120" s="1809">
        <v>120</v>
      </c>
    </row>
    <row r="121" spans="1:53" s="95" customFormat="1" ht="12" customHeight="1">
      <c r="B121" s="151" t="s">
        <v>662</v>
      </c>
      <c r="E121" s="341" t="s">
        <v>627</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663</v>
      </c>
      <c r="Z121" s="146"/>
      <c r="AA121" s="3861" t="s">
        <v>664</v>
      </c>
      <c r="AB121" s="3861"/>
      <c r="AC121" s="3764"/>
      <c r="AD121" s="3764"/>
      <c r="AE121" s="143" t="s">
        <v>665</v>
      </c>
      <c r="AF121" s="3764"/>
      <c r="AG121" s="143" t="s">
        <v>666</v>
      </c>
      <c r="AH121" s="3514"/>
      <c r="AI121" s="3514"/>
      <c r="AJ121" s="3856"/>
      <c r="AK121" s="3856"/>
      <c r="AZ121" s="1794" t="s">
        <v>667</v>
      </c>
      <c r="BA121" s="1809">
        <v>121</v>
      </c>
    </row>
    <row r="122" spans="1:53" s="95" customFormat="1" ht="12.6" customHeight="1">
      <c r="B122" s="95" t="s">
        <v>668</v>
      </c>
      <c r="F122" s="223">
        <f>IF($G$127=0,0,G122/$G$127)</f>
        <v>0.24561403508771928</v>
      </c>
      <c r="G122" s="3765">
        <v>560000</v>
      </c>
      <c r="H122" s="3765"/>
      <c r="J122" s="3730">
        <v>560000</v>
      </c>
      <c r="K122" s="3731"/>
      <c r="L122" s="185"/>
      <c r="M122" s="3730"/>
      <c r="N122" s="3731"/>
      <c r="P122" s="3730"/>
      <c r="Q122" s="3731"/>
      <c r="S122" s="3730"/>
      <c r="T122" s="3731"/>
      <c r="V122" s="614"/>
      <c r="W122" s="3707"/>
      <c r="X122" s="3708"/>
      <c r="Y122" s="77"/>
      <c r="Z122" s="888">
        <v>0.09</v>
      </c>
      <c r="AA122" s="3766" t="s">
        <v>669</v>
      </c>
      <c r="AB122" s="3767"/>
      <c r="AC122" s="2683">
        <f>'Part V-Revenues &amp; Expenses'!E58</f>
        <v>60</v>
      </c>
      <c r="AD122" s="2684">
        <f>AC122 * AC129</f>
        <v>2280000</v>
      </c>
      <c r="AE122" s="2685" t="s">
        <v>670</v>
      </c>
      <c r="AF122" s="2686" t="s">
        <v>670</v>
      </c>
      <c r="AG122" s="2687">
        <f>G18+G24+G28+G36+G41+G46+G55+G73+G86+G92+G103+G114+G120+G145+G129+G134</f>
        <v>17677433</v>
      </c>
      <c r="AH122" s="2688">
        <f>AE129*AG122</f>
        <v>2298066.29</v>
      </c>
      <c r="AI122" s="2689">
        <f>'DCA Underwriting Assumptions'!$Q$89</f>
        <v>2700000</v>
      </c>
      <c r="AJ122" s="3857">
        <f>MIN(AD122,AH122,AI122)</f>
        <v>2280000</v>
      </c>
      <c r="AK122" s="3858"/>
      <c r="AZ122" s="1794"/>
      <c r="BA122" s="1809">
        <v>122</v>
      </c>
    </row>
    <row r="123" spans="1:53" s="95" customFormat="1" ht="12.6" customHeight="1">
      <c r="B123" s="95" t="s">
        <v>671</v>
      </c>
      <c r="F123" s="2690">
        <v>560000</v>
      </c>
      <c r="G123" s="150" t="s">
        <v>672</v>
      </c>
      <c r="V123" s="614"/>
      <c r="W123" s="3707"/>
      <c r="X123" s="3708"/>
      <c r="Y123" s="77"/>
      <c r="Z123" s="58"/>
      <c r="AA123" s="3768" t="s">
        <v>673</v>
      </c>
      <c r="AB123" s="3769"/>
      <c r="AC123" s="2484" t="s">
        <v>670</v>
      </c>
      <c r="AD123" s="2486" t="s">
        <v>670</v>
      </c>
      <c r="AE123" s="2495">
        <f>C49</f>
        <v>13794000</v>
      </c>
      <c r="AF123" s="2491">
        <f>AD130*AE123</f>
        <v>4138200</v>
      </c>
      <c r="AG123" s="2493" t="s">
        <v>670</v>
      </c>
      <c r="AH123" s="2492" t="s">
        <v>670</v>
      </c>
      <c r="AI123" s="2585">
        <f>'DCA Underwriting Assumptions'!$Q$89</f>
        <v>2700000</v>
      </c>
      <c r="AJ123" s="3859">
        <f>MIN(AF123,AI123)</f>
        <v>2700000</v>
      </c>
      <c r="AK123" s="3860"/>
      <c r="AZ123" s="1794"/>
      <c r="BA123" s="1809">
        <v>123</v>
      </c>
    </row>
    <row r="124" spans="1:53" s="95" customFormat="1" ht="12.6" customHeight="1">
      <c r="B124" s="95" t="s">
        <v>674</v>
      </c>
      <c r="F124" s="223">
        <f>IF($G$127=0,0,G124/$G$127)</f>
        <v>0</v>
      </c>
      <c r="G124" s="3610"/>
      <c r="H124" s="3611"/>
      <c r="J124" s="3610"/>
      <c r="K124" s="3611"/>
      <c r="L124" s="2532"/>
      <c r="M124" s="3610"/>
      <c r="N124" s="3611"/>
      <c r="P124" s="3610"/>
      <c r="Q124" s="3611"/>
      <c r="S124" s="3610"/>
      <c r="T124" s="3611"/>
      <c r="V124" s="614"/>
      <c r="W124" s="3707"/>
      <c r="X124" s="3708"/>
      <c r="Y124" s="77"/>
      <c r="Z124" s="889">
        <v>0.04</v>
      </c>
      <c r="AA124" s="3770" t="s">
        <v>669</v>
      </c>
      <c r="AB124" s="3771"/>
      <c r="AC124" s="2485">
        <f>'Part V-Revenues &amp; Expenses'!E58</f>
        <v>60</v>
      </c>
      <c r="AD124" s="2487">
        <f>AC124 * AC129</f>
        <v>2280000</v>
      </c>
      <c r="AE124" s="2685" t="s">
        <v>670</v>
      </c>
      <c r="AF124" s="2686" t="s">
        <v>670</v>
      </c>
      <c r="AG124" s="2687">
        <f>G18+G24+G28+G36+G41+G46+G55+G73+G86+G92+G103+G114+G120+G145+G129+G134</f>
        <v>17677433</v>
      </c>
      <c r="AH124" s="2688">
        <f>AG124 *AE129</f>
        <v>2298066.29</v>
      </c>
      <c r="AI124" s="2488">
        <f>'DCA Underwriting Assumptions'!$Q$90</f>
        <v>4500000</v>
      </c>
      <c r="AJ124" s="3857">
        <f>MIN(AD124,AH124,AI124)</f>
        <v>2280000</v>
      </c>
      <c r="AK124" s="3858"/>
      <c r="AZ124" s="1794"/>
      <c r="BA124" s="1809">
        <v>124</v>
      </c>
    </row>
    <row r="125" spans="1:53" s="95" customFormat="1" ht="12.6" customHeight="1">
      <c r="B125" s="95" t="s">
        <v>675</v>
      </c>
      <c r="F125" s="223">
        <f>IF($G$127=0,0,G125/$G$127)</f>
        <v>0</v>
      </c>
      <c r="G125" s="3592"/>
      <c r="H125" s="3593"/>
      <c r="J125" s="3592"/>
      <c r="K125" s="3593"/>
      <c r="L125" s="2532"/>
      <c r="M125" s="3592"/>
      <c r="N125" s="3593"/>
      <c r="P125" s="3592"/>
      <c r="Q125" s="3593"/>
      <c r="S125" s="3592"/>
      <c r="T125" s="3593"/>
      <c r="V125" s="614"/>
      <c r="W125" s="3707"/>
      <c r="X125" s="3708"/>
      <c r="Y125"/>
      <c r="Z125" s="888"/>
      <c r="AA125" s="3768" t="s">
        <v>673</v>
      </c>
      <c r="AB125" s="3769"/>
      <c r="AC125" s="2484" t="s">
        <v>670</v>
      </c>
      <c r="AD125" s="2486" t="s">
        <v>670</v>
      </c>
      <c r="AE125" s="2496">
        <f>C49</f>
        <v>13794000</v>
      </c>
      <c r="AF125" s="2490">
        <f>AD130*AE125</f>
        <v>4138200</v>
      </c>
      <c r="AG125" s="2494" t="s">
        <v>670</v>
      </c>
      <c r="AH125" s="2489" t="s">
        <v>670</v>
      </c>
      <c r="AI125" s="2585">
        <f>'DCA Underwriting Assumptions'!$Q$90</f>
        <v>4500000</v>
      </c>
      <c r="AJ125" s="3859">
        <f>MIN(AF125,AI125)</f>
        <v>4138200</v>
      </c>
      <c r="AK125" s="3860"/>
      <c r="AZ125" s="1794"/>
      <c r="BA125" s="1809">
        <v>125</v>
      </c>
    </row>
    <row r="126" spans="1:53" s="95" customFormat="1" ht="12.6" customHeight="1">
      <c r="B126" s="95" t="s">
        <v>676</v>
      </c>
      <c r="F126" s="223">
        <f>IF($G$127=0,0,G126/$G$127)</f>
        <v>0.75438596491228072</v>
      </c>
      <c r="G126" s="3602">
        <v>1720000</v>
      </c>
      <c r="H126" s="3603"/>
      <c r="J126" s="3602">
        <v>1720000</v>
      </c>
      <c r="K126" s="3603"/>
      <c r="L126" s="2532"/>
      <c r="M126" s="3602"/>
      <c r="N126" s="3603"/>
      <c r="P126" s="3602"/>
      <c r="Q126" s="3603"/>
      <c r="S126" s="3602"/>
      <c r="T126" s="3603"/>
      <c r="V126" s="614"/>
      <c r="W126" s="3711"/>
      <c r="X126" s="3712"/>
      <c r="Y126"/>
      <c r="Z126" s="34"/>
      <c r="AA126" s="98" t="s">
        <v>677</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678</v>
      </c>
      <c r="E127" s="3854">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2280000</v>
      </c>
      <c r="F127" s="184" t="s">
        <v>531</v>
      </c>
      <c r="G127" s="3713">
        <f>SUM(G122:G126)</f>
        <v>2280000</v>
      </c>
      <c r="H127" s="3714"/>
      <c r="J127" s="3713">
        <f>SUM(J122:J126)</f>
        <v>2280000</v>
      </c>
      <c r="K127" s="3714"/>
      <c r="L127" s="2532"/>
      <c r="M127" s="3713">
        <f>SUM(M122:M126)</f>
        <v>0</v>
      </c>
      <c r="N127" s="3714"/>
      <c r="P127" s="3713">
        <f>SUM(P122:P126)</f>
        <v>0</v>
      </c>
      <c r="Q127" s="3714"/>
      <c r="S127" s="3713">
        <f>SUM(S122:S126)</f>
        <v>0</v>
      </c>
      <c r="T127" s="3714"/>
      <c r="V127" s="616">
        <f>SUM(V122:V126)</f>
        <v>0</v>
      </c>
      <c r="W127" s="3715"/>
      <c r="X127" s="3716"/>
      <c r="Y127"/>
      <c r="Z127" s="34"/>
      <c r="AA127" s="2479"/>
      <c r="AB127" s="2480"/>
      <c r="AC127" s="3764" t="s">
        <v>679</v>
      </c>
      <c r="AD127" s="2481"/>
      <c r="AE127" s="2481"/>
      <c r="AF127" s="2482"/>
      <c r="AG127" s="2482"/>
      <c r="AH127" s="2483"/>
      <c r="AI127" s="2483"/>
      <c r="AJ127" s="2478"/>
      <c r="AZ127" s="1810"/>
      <c r="BA127" s="1809">
        <v>127</v>
      </c>
    </row>
    <row r="128" spans="1:53" s="95" customFormat="1" ht="12" customHeight="1">
      <c r="B128" s="151" t="s">
        <v>680</v>
      </c>
      <c r="E128" s="3854"/>
      <c r="J128" s="183"/>
      <c r="K128" s="183"/>
      <c r="M128" s="183"/>
      <c r="N128" s="183"/>
      <c r="O128" s="185" t="str">
        <f>B128</f>
        <v>START-UP AND RESERVES</v>
      </c>
      <c r="P128" s="183"/>
      <c r="Q128" s="183"/>
      <c r="S128" s="183"/>
      <c r="T128" s="183"/>
      <c r="V128" s="617"/>
      <c r="W128" s="95" t="str">
        <f>B128</f>
        <v>START-UP AND RESERVES</v>
      </c>
      <c r="Z128" s="2591"/>
      <c r="AA128" s="3864" t="s">
        <v>664</v>
      </c>
      <c r="AB128" s="3864"/>
      <c r="AC128" s="3764"/>
      <c r="AD128" s="143" t="s">
        <v>681</v>
      </c>
      <c r="AE128" s="143" t="s">
        <v>682</v>
      </c>
      <c r="AF128"/>
      <c r="AG128"/>
      <c r="AH128"/>
      <c r="AI128"/>
      <c r="AJ128"/>
      <c r="AK128"/>
      <c r="AZ128" s="1810" t="s">
        <v>683</v>
      </c>
      <c r="BA128" s="1809">
        <v>128</v>
      </c>
    </row>
    <row r="129" spans="1:53" s="95" customFormat="1" ht="12.6" customHeight="1">
      <c r="B129" s="95" t="s">
        <v>684</v>
      </c>
      <c r="E129" s="3854"/>
      <c r="G129" s="3610">
        <v>50000</v>
      </c>
      <c r="H129" s="3611"/>
      <c r="J129" s="194"/>
      <c r="K129" s="194"/>
      <c r="L129" s="194"/>
      <c r="M129" s="194"/>
      <c r="N129" s="194"/>
      <c r="P129" s="194"/>
      <c r="Q129" s="194"/>
      <c r="S129" s="3610">
        <v>50000</v>
      </c>
      <c r="T129" s="3611"/>
      <c r="V129" s="614"/>
      <c r="W129" s="3707"/>
      <c r="X129" s="3708"/>
      <c r="Y129" s="2501" t="s">
        <v>685</v>
      </c>
      <c r="Z129" s="2591"/>
      <c r="AA129" s="3862" t="s">
        <v>669</v>
      </c>
      <c r="AB129" s="3863"/>
      <c r="AC129" s="2504">
        <f>'DCA Underwriting Assumptions'!$Q$82</f>
        <v>38000</v>
      </c>
      <c r="AD129" s="2502" t="s">
        <v>670</v>
      </c>
      <c r="AE129" s="2505">
        <f>'DCA Underwriting Assumptions'!Q83</f>
        <v>0.13</v>
      </c>
      <c r="AF129"/>
      <c r="AG129"/>
      <c r="AH129"/>
      <c r="AI129"/>
      <c r="AJ129"/>
      <c r="AK129"/>
      <c r="AZ129" s="1810" t="s">
        <v>686</v>
      </c>
      <c r="BA129" s="1809">
        <v>129</v>
      </c>
    </row>
    <row r="130" spans="1:53" s="95" customFormat="1" ht="12.6" customHeight="1">
      <c r="B130" s="95" t="s">
        <v>687</v>
      </c>
      <c r="F130" s="258">
        <f>+'Part V-Revenues &amp; Expenses'!$Q$250*('DCA Underwriting Assumptions'!$Q$105/12)</f>
        <v>90065</v>
      </c>
      <c r="G130" s="3592">
        <v>90065</v>
      </c>
      <c r="H130" s="3593"/>
      <c r="J130" s="558" t="str">
        <f>IF(E130&gt;G130,"WARNING! Rent-Up Reserves proposed is below minimum - add comment.","")</f>
        <v/>
      </c>
      <c r="K130" s="558"/>
      <c r="L130" s="2532"/>
      <c r="M130" s="547"/>
      <c r="N130" s="547"/>
      <c r="P130" s="547"/>
      <c r="Q130" s="547"/>
      <c r="S130" s="3592">
        <v>90065</v>
      </c>
      <c r="T130" s="3593"/>
      <c r="V130" s="614"/>
      <c r="W130" s="3707"/>
      <c r="X130" s="3708"/>
      <c r="Y130"/>
      <c r="Z130" s="889"/>
      <c r="AA130" s="3862" t="s">
        <v>673</v>
      </c>
      <c r="AB130" s="3863"/>
      <c r="AC130" s="2502" t="s">
        <v>670</v>
      </c>
      <c r="AD130" s="2506">
        <f>'DCA Underwriting Assumptions'!Q84</f>
        <v>0.3</v>
      </c>
      <c r="AE130" s="2503" t="s">
        <v>670</v>
      </c>
      <c r="AG130"/>
      <c r="AH130"/>
      <c r="AI130"/>
      <c r="AZ130" s="1810"/>
      <c r="BA130" s="1809">
        <v>130</v>
      </c>
    </row>
    <row r="131" spans="1:53" s="95" customFormat="1" ht="12.6" customHeight="1">
      <c r="B131" s="95" t="s">
        <v>688</v>
      </c>
      <c r="F131" s="258">
        <f>'Part V-Revenues &amp; Expenses'!$Q$250*('DCA Underwriting Assumptions'!$Q$103/12)+('Part VI-Pro Forma'!$B$26+'Part VI-Pro Forma'!$B$27+'Part VI-Pro Forma'!$B$28+'Part VI-Pro Forma'!$B$29)*'DCA Underwriting Assumptions'!$Q$102/(-12)</f>
        <v>339408.30849123903</v>
      </c>
      <c r="G131" s="3592">
        <v>339409</v>
      </c>
      <c r="H131" s="3593"/>
      <c r="J131" s="558" t="str">
        <f>IF(E131&gt;G131,"WARNING! ODR proposed is below minimum - add comment.","")</f>
        <v/>
      </c>
      <c r="K131" s="193"/>
      <c r="L131" s="193"/>
      <c r="M131" s="193"/>
      <c r="N131" s="193"/>
      <c r="P131" s="193"/>
      <c r="Q131" s="193"/>
      <c r="S131" s="3592">
        <v>339409</v>
      </c>
      <c r="T131" s="3593"/>
      <c r="V131" s="614"/>
      <c r="W131" s="3707"/>
      <c r="X131" s="3708"/>
      <c r="Y131"/>
      <c r="Z131" s="889"/>
      <c r="AA131" s="98" t="s">
        <v>677</v>
      </c>
      <c r="AB131" s="146"/>
      <c r="AD131"/>
      <c r="AG131"/>
      <c r="AH131"/>
      <c r="AI131"/>
      <c r="AZ131" s="1810"/>
      <c r="BA131" s="1809">
        <v>131</v>
      </c>
    </row>
    <row r="132" spans="1:53" s="95" customFormat="1" ht="12.6" customHeight="1">
      <c r="B132" s="95" t="s">
        <v>689</v>
      </c>
      <c r="E132" s="482" t="s">
        <v>690</v>
      </c>
      <c r="F132" s="258">
        <f>'Part V-Revenues &amp; Expenses'!$L$266+'Part V-Revenues &amp; Expenses'!$L$267</f>
        <v>127600</v>
      </c>
      <c r="G132" s="3592">
        <v>127600</v>
      </c>
      <c r="H132" s="3593"/>
      <c r="J132" s="558"/>
      <c r="K132" s="193"/>
      <c r="L132" s="193"/>
      <c r="M132" s="193"/>
      <c r="N132" s="193"/>
      <c r="P132" s="193"/>
      <c r="Q132" s="193"/>
      <c r="S132" s="3592">
        <v>127600</v>
      </c>
      <c r="T132" s="3593"/>
      <c r="V132" s="614"/>
      <c r="W132" s="3707"/>
      <c r="X132" s="3708"/>
      <c r="Y132"/>
      <c r="Z132" s="889"/>
      <c r="AB132" s="146"/>
      <c r="AD132"/>
      <c r="AG132"/>
      <c r="AH132"/>
      <c r="AI132"/>
      <c r="AZ132" s="1810"/>
      <c r="BA132" s="1809">
        <v>132</v>
      </c>
    </row>
    <row r="133" spans="1:53" s="95" customFormat="1" ht="12.6" customHeight="1">
      <c r="B133" s="95" t="s">
        <v>691</v>
      </c>
      <c r="G133" s="3592"/>
      <c r="H133" s="3593"/>
      <c r="J133" s="194"/>
      <c r="K133" s="194"/>
      <c r="L133" s="194"/>
      <c r="M133" s="194"/>
      <c r="N133" s="194"/>
      <c r="P133" s="194"/>
      <c r="Q133" s="194"/>
      <c r="S133" s="3592"/>
      <c r="T133" s="3593"/>
      <c r="V133" s="614"/>
      <c r="W133" s="3707"/>
      <c r="X133" s="3708"/>
      <c r="AZ133" s="1810" t="s">
        <v>692</v>
      </c>
      <c r="BA133" s="1809">
        <v>133</v>
      </c>
    </row>
    <row r="134" spans="1:53" s="95" customFormat="1" ht="12.6" customHeight="1">
      <c r="B134" s="95" t="s">
        <v>693</v>
      </c>
      <c r="E134" s="482" t="s">
        <v>694</v>
      </c>
      <c r="F134" s="258">
        <f>IF('Part V-Revenues &amp; Expenses'!$P$76=0,0,G134/'Part V-Revenues &amp; Expenses'!$P$76)</f>
        <v>1500</v>
      </c>
      <c r="G134" s="3592">
        <v>90000</v>
      </c>
      <c r="H134" s="3593"/>
      <c r="J134" s="3610">
        <v>90000</v>
      </c>
      <c r="K134" s="3611"/>
      <c r="L134" s="2532"/>
      <c r="M134" s="3610"/>
      <c r="N134" s="3611"/>
      <c r="P134" s="3610"/>
      <c r="Q134" s="3611"/>
      <c r="S134" s="3592"/>
      <c r="T134" s="3593"/>
      <c r="V134" s="614"/>
      <c r="W134" s="3707"/>
      <c r="X134" s="3708"/>
      <c r="AZ134" s="1810" t="s">
        <v>695</v>
      </c>
      <c r="BA134" s="1809">
        <v>134</v>
      </c>
    </row>
    <row r="135" spans="1:53" s="95" customFormat="1" ht="12.6" customHeight="1" thickBot="1">
      <c r="A135" s="205" t="str">
        <f>IF(AND(G135&gt;0,OR(C135="",C135="&lt;Enter detailed description here; use Comments section if needed&gt;")),"X","")</f>
        <v/>
      </c>
      <c r="B135" s="98" t="s">
        <v>646</v>
      </c>
      <c r="C135" s="3709" t="s">
        <v>525</v>
      </c>
      <c r="D135" s="3709"/>
      <c r="E135" s="3709"/>
      <c r="F135" s="3710"/>
      <c r="G135" s="3602"/>
      <c r="H135" s="3603"/>
      <c r="J135" s="3717"/>
      <c r="K135" s="3718"/>
      <c r="L135" s="2532"/>
      <c r="M135" s="3602"/>
      <c r="N135" s="3603"/>
      <c r="P135" s="3602"/>
      <c r="Q135" s="3603"/>
      <c r="S135" s="3602"/>
      <c r="T135" s="3603"/>
      <c r="U135" s="204" t="str">
        <f>IF(AND(G135&gt;0,OR(C135="",C135="&lt;Enter detailed description here; use Comments section if needed&gt;")),"NO DESCRIPTION PROVIDED - please enter detailed description in Other box at left; use Comments section below if needed.","")</f>
        <v/>
      </c>
      <c r="V135" s="614"/>
      <c r="W135" s="3711"/>
      <c r="X135" s="3712"/>
      <c r="AZ135" s="1810"/>
      <c r="BA135" s="1809">
        <v>135</v>
      </c>
    </row>
    <row r="136" spans="1:53" s="95" customFormat="1" ht="12.6" customHeight="1" thickTop="1">
      <c r="B136" s="195"/>
      <c r="F136" s="184" t="s">
        <v>531</v>
      </c>
      <c r="G136" s="3713">
        <f>SUM(G129:G135)</f>
        <v>697074</v>
      </c>
      <c r="H136" s="3714"/>
      <c r="J136" s="3713">
        <f>SUM(J134:J135)</f>
        <v>90000</v>
      </c>
      <c r="K136" s="3714"/>
      <c r="L136" s="2532"/>
      <c r="M136" s="3713">
        <f>SUM(M134:M135)</f>
        <v>0</v>
      </c>
      <c r="N136" s="3714"/>
      <c r="P136" s="3713">
        <f>SUM(P134:P135)</f>
        <v>0</v>
      </c>
      <c r="Q136" s="3714"/>
      <c r="S136" s="3713">
        <f>SUM(S129:S135)</f>
        <v>607074</v>
      </c>
      <c r="T136" s="3714"/>
      <c r="V136" s="616">
        <f>SUM(V129:V135)</f>
        <v>0</v>
      </c>
      <c r="W136" s="3715"/>
      <c r="X136" s="3716"/>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21</v>
      </c>
      <c r="B140" s="237" t="s">
        <v>617</v>
      </c>
      <c r="J140" s="3697" t="s">
        <v>512</v>
      </c>
      <c r="K140" s="3698"/>
      <c r="L140" s="183"/>
      <c r="M140" s="3701" t="s">
        <v>513</v>
      </c>
      <c r="N140" s="3702"/>
      <c r="P140" s="3697" t="s">
        <v>514</v>
      </c>
      <c r="Q140" s="3698"/>
      <c r="S140" s="3697" t="s">
        <v>515</v>
      </c>
      <c r="T140" s="3698"/>
      <c r="V140" s="238" t="str">
        <f>B140</f>
        <v>DEVELOPMENT BUDGET  (cont'd)</v>
      </c>
      <c r="AZ140" s="1810"/>
      <c r="BA140" s="1809">
        <v>140</v>
      </c>
    </row>
    <row r="141" spans="1:53" s="95" customFormat="1" ht="18" customHeight="1" thickBot="1">
      <c r="G141" s="3705" t="s">
        <v>516</v>
      </c>
      <c r="H141" s="3706"/>
      <c r="J141" s="3699"/>
      <c r="K141" s="3700"/>
      <c r="L141" s="183"/>
      <c r="M141" s="3703"/>
      <c r="N141" s="3704"/>
      <c r="P141" s="3699"/>
      <c r="Q141" s="3700"/>
      <c r="S141" s="3699"/>
      <c r="T141" s="3700"/>
      <c r="V141" s="159" t="s">
        <v>349</v>
      </c>
      <c r="X141" s="159"/>
      <c r="AZ141" s="1810"/>
      <c r="BA141" s="1809">
        <v>141</v>
      </c>
    </row>
    <row r="142" spans="1:53" s="95" customFormat="1" ht="13.35" customHeight="1">
      <c r="B142" s="151" t="s">
        <v>696</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697</v>
      </c>
      <c r="C143" s="153"/>
      <c r="G143" s="3610"/>
      <c r="H143" s="3611"/>
      <c r="J143" s="3610"/>
      <c r="K143" s="3611"/>
      <c r="L143" s="185"/>
      <c r="M143" s="3610"/>
      <c r="N143" s="3611"/>
      <c r="P143" s="3610"/>
      <c r="Q143" s="3611"/>
      <c r="S143" s="3610"/>
      <c r="T143" s="3611"/>
      <c r="V143" s="614"/>
      <c r="W143" s="3707"/>
      <c r="X143" s="3708"/>
      <c r="AZ143" s="1810"/>
      <c r="BA143" s="1809">
        <v>143</v>
      </c>
    </row>
    <row r="144" spans="1:53" s="95" customFormat="1" ht="12.6" customHeight="1" thickBot="1">
      <c r="A144" s="205" t="str">
        <f>IF(AND(G144&gt;0,OR(C144="",C144="&lt;Enter detailed description here; use Comments section if needed&gt;")),"X","")</f>
        <v/>
      </c>
      <c r="B144" s="98" t="s">
        <v>646</v>
      </c>
      <c r="C144" s="3709" t="s">
        <v>525</v>
      </c>
      <c r="D144" s="3709"/>
      <c r="E144" s="3709"/>
      <c r="F144" s="3710"/>
      <c r="G144" s="3602"/>
      <c r="H144" s="3603"/>
      <c r="J144" s="3602"/>
      <c r="K144" s="3603"/>
      <c r="L144" s="2532"/>
      <c r="M144" s="3602"/>
      <c r="N144" s="3603"/>
      <c r="P144" s="3602"/>
      <c r="Q144" s="3603"/>
      <c r="S144" s="3602"/>
      <c r="T144" s="3603"/>
      <c r="U144" s="204" t="str">
        <f>IF(AND(G144&gt;0,OR(C144="",C144="&lt;Enter detailed description here; use Comments section if needed&gt;")),"NO DESCRIPTION PROVIDED - please enter detailed description in Other box at left; use Comments section below if needed.","")</f>
        <v/>
      </c>
      <c r="V144" s="614"/>
      <c r="W144" s="3711"/>
      <c r="X144" s="3712"/>
      <c r="AZ144" s="1810"/>
      <c r="BA144" s="1809">
        <v>144</v>
      </c>
    </row>
    <row r="145" spans="1:53" s="95" customFormat="1" ht="12.6" customHeight="1" thickTop="1">
      <c r="C145" s="153"/>
      <c r="F145" s="184" t="s">
        <v>531</v>
      </c>
      <c r="G145" s="3713">
        <f>SUM(G143:G144)</f>
        <v>0</v>
      </c>
      <c r="H145" s="3714"/>
      <c r="J145" s="3713">
        <f>SUM(J143:J144)</f>
        <v>0</v>
      </c>
      <c r="K145" s="3714"/>
      <c r="L145" s="2532"/>
      <c r="M145" s="3713">
        <f>SUM(M143:M144)</f>
        <v>0</v>
      </c>
      <c r="N145" s="3714"/>
      <c r="P145" s="3713">
        <f>SUM(P143:P144)</f>
        <v>0</v>
      </c>
      <c r="Q145" s="3714"/>
      <c r="S145" s="3713">
        <f>SUM(S143:S144)</f>
        <v>0</v>
      </c>
      <c r="T145" s="3714"/>
      <c r="V145" s="616">
        <f>SUM(V143:V144)</f>
        <v>0</v>
      </c>
      <c r="W145" s="3715"/>
      <c r="X145" s="3716"/>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698</v>
      </c>
      <c r="E147" s="482"/>
      <c r="F147" s="891"/>
      <c r="G147" s="3772">
        <f>G18+G24+G28+G36+G41+G46+G55+G73+G86+G92+G103+G114+G120+G127+G136+G145</f>
        <v>20514507</v>
      </c>
      <c r="H147" s="3773"/>
      <c r="J147" s="3772">
        <f>J18+J24+J28+J36+J41+J46+J55+J73+J86+J92+J103+J114+J120+J127+J136+J145</f>
        <v>18862292</v>
      </c>
      <c r="K147" s="3773"/>
      <c r="M147" s="3772">
        <f>M18+M24+M28+M36+M41+M46+M55+M73+M86+M92+M103+M114+M120+M127+M136+M145</f>
        <v>0</v>
      </c>
      <c r="N147" s="3773"/>
      <c r="P147" s="3772">
        <f>P18+P24+P28+P36+P41+P46+P55+P73+P86+P92+P103+P114+P120+P127+P136+P145</f>
        <v>0</v>
      </c>
      <c r="Q147" s="3773"/>
      <c r="S147" s="3772">
        <f>S18+S24+S28+S36+S41+S46+S55+S73+S86+S92+S103+S114+S120+S127+S136+S145</f>
        <v>1652215</v>
      </c>
      <c r="T147" s="3773"/>
      <c r="V147" s="2691">
        <f>V18+V24+V28+V36+V41+V46+V55+V73+V86+V92+V103+V114+V120+V127+V136+V145</f>
        <v>0</v>
      </c>
      <c r="W147" s="3774"/>
      <c r="X147" s="3716"/>
      <c r="AZ147" s="1810"/>
      <c r="BA147" s="1809">
        <v>147</v>
      </c>
    </row>
    <row r="148" spans="1:53" s="95" customFormat="1" ht="12" customHeight="1">
      <c r="C148" s="153"/>
      <c r="H148" s="191"/>
      <c r="I148" s="191"/>
      <c r="V148" s="617"/>
      <c r="AZ148" s="1810"/>
      <c r="BA148" s="1809">
        <v>148</v>
      </c>
    </row>
    <row r="149" spans="1:53" s="95" customFormat="1" ht="14.1" customHeight="1">
      <c r="B149" s="2692" t="s">
        <v>699</v>
      </c>
      <c r="C149" s="2693"/>
      <c r="D149" s="3777">
        <f>IF('Part V-Revenues &amp; Expenses'!$P$76=0,0,G147/'Part V-Revenues &amp; Expenses'!$P$76)</f>
        <v>341908.45</v>
      </c>
      <c r="E149" s="3777"/>
      <c r="F149" s="2694" t="s">
        <v>700</v>
      </c>
      <c r="G149" s="3778">
        <f>IF('Part V-Revenues &amp; Expenses'!$K$197=0,0,G147/'Part V-Revenues &amp; Expenses'!$K$197)</f>
        <v>305.20273446798382</v>
      </c>
      <c r="H149" s="3779"/>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25</v>
      </c>
      <c r="B151" s="239" t="s">
        <v>701</v>
      </c>
      <c r="C151" s="267"/>
      <c r="D151" s="2532"/>
      <c r="E151" s="2532"/>
      <c r="F151" s="2532"/>
      <c r="I151" s="198"/>
      <c r="J151" s="3697" t="s">
        <v>512</v>
      </c>
      <c r="K151" s="3698"/>
      <c r="M151" s="3697" t="s">
        <v>702</v>
      </c>
      <c r="N151" s="3698"/>
      <c r="P151" s="3697" t="s">
        <v>514</v>
      </c>
      <c r="Q151" s="3698"/>
      <c r="V151" s="617"/>
      <c r="W151" s="238" t="str">
        <f>B151</f>
        <v>TAX CREDIT CALCULATION - BASIS METHOD</v>
      </c>
      <c r="AZ151" s="1810"/>
      <c r="BA151" s="1809">
        <v>151</v>
      </c>
    </row>
    <row r="152" spans="1:53" s="95" customFormat="1" ht="15" customHeight="1" thickBot="1">
      <c r="B152" s="134" t="s">
        <v>703</v>
      </c>
      <c r="D152" s="2532"/>
      <c r="E152" s="2532"/>
      <c r="I152" s="198"/>
      <c r="J152" s="3699"/>
      <c r="K152" s="3700"/>
      <c r="L152" s="267"/>
      <c r="M152" s="3699"/>
      <c r="N152" s="3700"/>
      <c r="P152" s="3699"/>
      <c r="Q152" s="3700"/>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704</v>
      </c>
      <c r="I154" s="198"/>
      <c r="J154" s="3780"/>
      <c r="K154" s="3781"/>
      <c r="P154" s="3780"/>
      <c r="Q154" s="3781"/>
      <c r="V154" s="614"/>
      <c r="W154" s="3707"/>
      <c r="X154" s="3708"/>
      <c r="AZ154" s="1810"/>
      <c r="BA154" s="1809">
        <v>154</v>
      </c>
    </row>
    <row r="155" spans="1:53" s="95" customFormat="1" ht="14.1" customHeight="1">
      <c r="B155" s="95" t="s">
        <v>705</v>
      </c>
      <c r="I155" s="198"/>
      <c r="J155" s="3775"/>
      <c r="K155" s="3776"/>
      <c r="P155" s="3775"/>
      <c r="Q155" s="3776"/>
      <c r="V155" s="614"/>
      <c r="W155" s="3707"/>
      <c r="X155" s="3708"/>
      <c r="AZ155" s="1810"/>
      <c r="BA155" s="1809">
        <v>155</v>
      </c>
    </row>
    <row r="156" spans="1:53" s="95" customFormat="1" ht="14.1" customHeight="1">
      <c r="B156" s="95" t="s">
        <v>706</v>
      </c>
      <c r="I156" s="198"/>
      <c r="J156" s="3775"/>
      <c r="K156" s="3776"/>
      <c r="P156" s="3775"/>
      <c r="Q156" s="3776"/>
      <c r="V156" s="614"/>
      <c r="W156" s="3707"/>
      <c r="X156" s="3708"/>
      <c r="AZ156" s="1810"/>
      <c r="BA156" s="1809">
        <v>156</v>
      </c>
    </row>
    <row r="157" spans="1:53" s="95" customFormat="1" ht="14.1" customHeight="1">
      <c r="B157" s="95" t="s">
        <v>707</v>
      </c>
      <c r="I157" s="198"/>
      <c r="J157" s="3775"/>
      <c r="K157" s="3776"/>
      <c r="P157" s="3775"/>
      <c r="Q157" s="3776"/>
      <c r="V157" s="614"/>
      <c r="W157" s="3707"/>
      <c r="X157" s="3708"/>
      <c r="AZ157" s="1810"/>
      <c r="BA157" s="1809">
        <v>157</v>
      </c>
    </row>
    <row r="158" spans="1:53" s="95" customFormat="1" ht="14.1" customHeight="1">
      <c r="B158" s="95" t="s">
        <v>708</v>
      </c>
      <c r="I158" s="198"/>
      <c r="J158" s="3775"/>
      <c r="K158" s="3776"/>
      <c r="P158" s="3775"/>
      <c r="Q158" s="3776"/>
      <c r="V158" s="614"/>
      <c r="W158" s="3707"/>
      <c r="X158" s="3708"/>
      <c r="AZ158" s="1810"/>
      <c r="BA158" s="1809">
        <v>158</v>
      </c>
    </row>
    <row r="159" spans="1:53" s="95" customFormat="1" ht="14.1" customHeight="1" thickBot="1">
      <c r="B159" s="95" t="s">
        <v>709</v>
      </c>
      <c r="C159" s="3782" t="s">
        <v>710</v>
      </c>
      <c r="D159" s="3782"/>
      <c r="E159" s="3782"/>
      <c r="F159" s="3782"/>
      <c r="G159" s="3782"/>
      <c r="H159" s="3782"/>
      <c r="I159" s="3783"/>
      <c r="J159" s="3784"/>
      <c r="K159" s="3785"/>
      <c r="P159" s="3784"/>
      <c r="Q159" s="3785"/>
      <c r="V159" s="614"/>
      <c r="W159" s="3711"/>
      <c r="X159" s="3712"/>
      <c r="AZ159" s="1810"/>
      <c r="BA159" s="1809">
        <v>159</v>
      </c>
    </row>
    <row r="160" spans="1:53" s="95" customFormat="1" ht="14.1" customHeight="1" thickBot="1">
      <c r="B160" s="151" t="s">
        <v>711</v>
      </c>
      <c r="C160" s="156"/>
      <c r="J160" s="3675">
        <f>SUM(J154:K159)</f>
        <v>0</v>
      </c>
      <c r="K160" s="3676"/>
      <c r="P160" s="3675">
        <f>SUM(P154:Q159)</f>
        <v>0</v>
      </c>
      <c r="Q160" s="3676"/>
      <c r="V160" s="616">
        <f>SUM(V154:V159)</f>
        <v>0</v>
      </c>
      <c r="W160" s="3715"/>
      <c r="X160" s="3716"/>
      <c r="AZ160" s="1810"/>
      <c r="BA160" s="1809">
        <v>160</v>
      </c>
    </row>
    <row r="161" spans="1:53" s="95" customFormat="1" ht="3" customHeight="1">
      <c r="V161" s="617"/>
      <c r="AZ161" s="1810"/>
      <c r="BA161" s="1809">
        <v>161</v>
      </c>
    </row>
    <row r="162" spans="1:53" s="95" customFormat="1" ht="15" customHeight="1">
      <c r="B162" s="151" t="s">
        <v>712</v>
      </c>
      <c r="V162" s="617"/>
      <c r="W162" s="95" t="str">
        <f>B162</f>
        <v>Eligible Basis Calculation</v>
      </c>
      <c r="AZ162" s="1810"/>
      <c r="BA162" s="1809">
        <v>162</v>
      </c>
    </row>
    <row r="163" spans="1:53" s="95" customFormat="1" ht="14.1" customHeight="1">
      <c r="B163" s="95" t="s">
        <v>713</v>
      </c>
      <c r="J163" s="3786">
        <f>J147</f>
        <v>18862292</v>
      </c>
      <c r="K163" s="3787"/>
      <c r="M163" s="3788">
        <f>M147</f>
        <v>0</v>
      </c>
      <c r="N163" s="3789"/>
      <c r="P163" s="3786">
        <f>P147</f>
        <v>0</v>
      </c>
      <c r="Q163" s="3787"/>
      <c r="R163" s="3790" t="s">
        <v>714</v>
      </c>
      <c r="S163" s="3791"/>
      <c r="T163" s="3791"/>
      <c r="V163" s="614"/>
      <c r="W163" s="3707"/>
      <c r="X163" s="3708"/>
      <c r="AZ163" s="1810"/>
      <c r="BA163" s="1809">
        <v>163</v>
      </c>
    </row>
    <row r="164" spans="1:53" s="95" customFormat="1" ht="14.1" customHeight="1">
      <c r="B164" s="95" t="s">
        <v>715</v>
      </c>
      <c r="J164" s="3792">
        <f>J160</f>
        <v>0</v>
      </c>
      <c r="K164" s="3793"/>
      <c r="M164" s="3794"/>
      <c r="N164" s="3794"/>
      <c r="P164" s="3792">
        <f>P160</f>
        <v>0</v>
      </c>
      <c r="Q164" s="3793"/>
      <c r="R164" s="3790"/>
      <c r="S164" s="3791"/>
      <c r="T164" s="3791"/>
      <c r="U164" s="802"/>
      <c r="V164" s="614"/>
      <c r="W164" s="3707"/>
      <c r="X164" s="3708"/>
      <c r="AZ164" s="1810"/>
      <c r="BA164" s="1809">
        <v>164</v>
      </c>
    </row>
    <row r="165" spans="1:53" s="95" customFormat="1" ht="14.1" customHeight="1">
      <c r="B165" s="95" t="s">
        <v>716</v>
      </c>
      <c r="J165" s="3792">
        <f>J163-J164</f>
        <v>18862292</v>
      </c>
      <c r="K165" s="3793"/>
      <c r="M165" s="3806">
        <f>M163</f>
        <v>0</v>
      </c>
      <c r="N165" s="3807"/>
      <c r="P165" s="3792">
        <f>P163-P164</f>
        <v>0</v>
      </c>
      <c r="Q165" s="3793"/>
      <c r="R165" s="3843" t="s">
        <v>717</v>
      </c>
      <c r="S165" s="3844"/>
      <c r="T165" s="3845"/>
      <c r="U165" s="802"/>
      <c r="V165" s="614"/>
      <c r="W165" s="3707"/>
      <c r="X165" s="3708"/>
      <c r="AZ165" s="1810"/>
      <c r="BA165" s="1809">
        <v>165</v>
      </c>
    </row>
    <row r="166" spans="1:53" s="95" customFormat="1" ht="14.1" customHeight="1">
      <c r="B166" s="95" t="s">
        <v>718</v>
      </c>
      <c r="G166" s="2517" t="s">
        <v>719</v>
      </c>
      <c r="H166" s="3403" t="s">
        <v>720</v>
      </c>
      <c r="I166" s="3404"/>
      <c r="J166" s="3841">
        <v>1</v>
      </c>
      <c r="K166" s="3842"/>
      <c r="M166" s="3852"/>
      <c r="N166" s="3852"/>
      <c r="P166" s="3841"/>
      <c r="Q166" s="3842"/>
      <c r="R166" s="3846"/>
      <c r="S166" s="3847"/>
      <c r="T166" s="3848"/>
      <c r="U166" s="803"/>
      <c r="V166" s="614"/>
      <c r="W166" s="3707"/>
      <c r="X166" s="3708"/>
      <c r="AZ166" s="1810"/>
      <c r="BA166" s="1809">
        <v>166</v>
      </c>
    </row>
    <row r="167" spans="1:53" s="95" customFormat="1" ht="14.1" customHeight="1">
      <c r="B167" s="95" t="s">
        <v>721</v>
      </c>
      <c r="J167" s="3792">
        <f>J165*J166</f>
        <v>18862292</v>
      </c>
      <c r="K167" s="3793"/>
      <c r="M167" s="3786">
        <f>+M165</f>
        <v>0</v>
      </c>
      <c r="N167" s="3787"/>
      <c r="P167" s="3792">
        <f>P165*P166</f>
        <v>0</v>
      </c>
      <c r="Q167" s="3793"/>
      <c r="R167" s="3849"/>
      <c r="S167" s="3850"/>
      <c r="T167" s="3851"/>
      <c r="U167" s="803"/>
      <c r="V167" s="614"/>
      <c r="W167" s="3707"/>
      <c r="X167" s="3708"/>
      <c r="AZ167" s="1810"/>
      <c r="BA167" s="1809">
        <v>167</v>
      </c>
    </row>
    <row r="168" spans="1:53" s="95" customFormat="1" ht="14.1" customHeight="1">
      <c r="B168" s="95" t="s">
        <v>722</v>
      </c>
      <c r="J168" s="3795">
        <f>MIN('Part V-Revenues &amp; Expenses'!$P$72/'Part V-Revenues &amp; Expenses'!$P$74,'Part V-Revenues &amp; Expenses'!$P$186/'Part V-Revenues &amp; Expenses'!$P$188)</f>
        <v>1</v>
      </c>
      <c r="K168" s="3796"/>
      <c r="M168" s="3795">
        <f>MIN('Part V-Revenues &amp; Expenses'!$P$72/'Part V-Revenues &amp; Expenses'!$P$74,'Part V-Revenues &amp; Expenses'!$P$186/'Part V-Revenues &amp; Expenses'!$P$188)</f>
        <v>1</v>
      </c>
      <c r="N168" s="3796"/>
      <c r="P168" s="3795">
        <f>MIN('Part V-Revenues &amp; Expenses'!$P$72/'Part V-Revenues &amp; Expenses'!$P$74,'Part V-Revenues &amp; Expenses'!$P$186/'Part V-Revenues &amp; Expenses'!$P$188)</f>
        <v>1</v>
      </c>
      <c r="Q168" s="3796"/>
      <c r="R168" s="3797" t="s">
        <v>723</v>
      </c>
      <c r="S168" s="3798"/>
      <c r="T168" s="3799"/>
      <c r="V168" s="614"/>
      <c r="W168" s="3707"/>
      <c r="X168" s="3708"/>
      <c r="AZ168" s="1810"/>
      <c r="BA168" s="1809">
        <v>168</v>
      </c>
    </row>
    <row r="169" spans="1:53" s="95" customFormat="1" ht="14.1" customHeight="1">
      <c r="B169" s="95" t="s">
        <v>724</v>
      </c>
      <c r="J169" s="3792">
        <f>J167*J168</f>
        <v>18862292</v>
      </c>
      <c r="K169" s="3793"/>
      <c r="M169" s="3792">
        <f>M167*M168</f>
        <v>0</v>
      </c>
      <c r="N169" s="3793"/>
      <c r="P169" s="3792">
        <f>P167*P168</f>
        <v>0</v>
      </c>
      <c r="Q169" s="3793"/>
      <c r="V169" s="614"/>
      <c r="W169" s="3707"/>
      <c r="X169" s="3708"/>
      <c r="AZ169" s="1810"/>
      <c r="BA169" s="1809">
        <v>169</v>
      </c>
    </row>
    <row r="170" spans="1:53" s="95" customFormat="1" ht="14.1" customHeight="1">
      <c r="B170" s="95" t="s">
        <v>725</v>
      </c>
      <c r="J170" s="3841">
        <v>0.09</v>
      </c>
      <c r="K170" s="3842"/>
      <c r="M170" s="3841"/>
      <c r="N170" s="3842"/>
      <c r="P170" s="3841"/>
      <c r="Q170" s="3842"/>
      <c r="V170" s="614"/>
      <c r="W170" s="3707"/>
      <c r="X170" s="3708"/>
      <c r="AZ170" s="1810"/>
      <c r="BA170" s="1809">
        <v>170</v>
      </c>
    </row>
    <row r="171" spans="1:53" s="95" customFormat="1" ht="14.1" customHeight="1" thickBot="1">
      <c r="B171" s="95" t="s">
        <v>726</v>
      </c>
      <c r="J171" s="3800">
        <f>J169*J170</f>
        <v>1697606.28</v>
      </c>
      <c r="K171" s="3801"/>
      <c r="M171" s="3800">
        <f>M169*M170</f>
        <v>0</v>
      </c>
      <c r="N171" s="3801"/>
      <c r="P171" s="3800">
        <f>P169*P170</f>
        <v>0</v>
      </c>
      <c r="Q171" s="3801"/>
      <c r="V171" s="619"/>
      <c r="W171" s="3711"/>
      <c r="X171" s="3712"/>
      <c r="AZ171" s="1810"/>
      <c r="BA171" s="1809">
        <v>171</v>
      </c>
    </row>
    <row r="172" spans="1:53" s="95" customFormat="1" ht="14.1" customHeight="1" thickBot="1">
      <c r="B172" s="151" t="s">
        <v>727</v>
      </c>
      <c r="J172" s="3675">
        <f>ROUNDDOWN(J171+M171+P171,0)</f>
        <v>1697606</v>
      </c>
      <c r="K172" s="3802"/>
      <c r="L172" s="3802"/>
      <c r="M172" s="3802"/>
      <c r="N172" s="3802"/>
      <c r="O172" s="3802"/>
      <c r="P172" s="3802"/>
      <c r="Q172" s="3676"/>
      <c r="V172" s="616"/>
      <c r="W172" s="3762"/>
      <c r="X172" s="3763"/>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31</v>
      </c>
      <c r="B174" s="238" t="s">
        <v>728</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729</v>
      </c>
      <c r="V176" s="617"/>
      <c r="W176" s="238" t="str">
        <f>B174</f>
        <v>TAX CREDIT CALCULATION - GAP METHOD</v>
      </c>
      <c r="AZ176" s="1810"/>
      <c r="BA176" s="1809">
        <v>176</v>
      </c>
    </row>
    <row r="177" spans="1:53" s="95" customFormat="1" ht="15" customHeight="1">
      <c r="B177" s="95" t="s">
        <v>730</v>
      </c>
      <c r="J177" s="3786">
        <f>G147</f>
        <v>20514507</v>
      </c>
      <c r="K177" s="3828"/>
      <c r="L177" s="3787"/>
      <c r="N177" s="3829" t="s">
        <v>731</v>
      </c>
      <c r="O177" s="3830"/>
      <c r="P177" s="3830"/>
      <c r="Q177" s="3831"/>
      <c r="S177" s="3837" t="s">
        <v>732</v>
      </c>
      <c r="T177" s="3838"/>
      <c r="V177" s="614"/>
      <c r="W177" s="3707"/>
      <c r="X177" s="3708"/>
      <c r="AZ177" s="1810"/>
      <c r="BA177" s="1809">
        <v>177</v>
      </c>
    </row>
    <row r="178" spans="1:53" s="95" customFormat="1" ht="14.1" customHeight="1">
      <c r="B178" s="95" t="s">
        <v>733</v>
      </c>
      <c r="J178" s="3792">
        <f>'Part II-Sources of Funds'!$I$62-'Part II-Sources of Funds'!$I$46-'Part II-Sources of Funds'!$I$47-'Part II-Sources of Funds'!$I$53-'Part II-Sources of Funds'!$I$54</f>
        <v>4150110</v>
      </c>
      <c r="K178" s="3813"/>
      <c r="L178" s="3793"/>
      <c r="M178" s="1353"/>
      <c r="N178" s="3832"/>
      <c r="O178" s="3791"/>
      <c r="P178" s="3791"/>
      <c r="Q178" s="3833"/>
      <c r="S178" s="3839"/>
      <c r="T178" s="3840"/>
      <c r="V178" s="614"/>
      <c r="W178" s="3707"/>
      <c r="X178" s="3708"/>
      <c r="AZ178" s="1810"/>
      <c r="BA178" s="1809">
        <v>178</v>
      </c>
    </row>
    <row r="179" spans="1:53" s="95" customFormat="1" ht="14.1" customHeight="1">
      <c r="B179" s="95" t="s">
        <v>734</v>
      </c>
      <c r="J179" s="3814">
        <f>+J177-J178</f>
        <v>16364397</v>
      </c>
      <c r="K179" s="3815"/>
      <c r="L179" s="3816"/>
      <c r="M179" s="1353"/>
      <c r="N179" s="3834"/>
      <c r="O179" s="3835"/>
      <c r="P179" s="3835"/>
      <c r="Q179" s="3836"/>
      <c r="S179" s="3839"/>
      <c r="T179" s="3840"/>
      <c r="V179" s="614"/>
      <c r="W179" s="3707"/>
      <c r="X179" s="3708"/>
      <c r="AZ179" s="1810"/>
      <c r="BA179" s="1809">
        <v>179</v>
      </c>
    </row>
    <row r="180" spans="1:53" s="95" customFormat="1" ht="14.1" customHeight="1" thickBot="1">
      <c r="B180" s="95" t="s">
        <v>735</v>
      </c>
      <c r="J180" s="3650" t="str">
        <f>"/ 10"</f>
        <v>/ 10</v>
      </c>
      <c r="K180" s="3650"/>
      <c r="L180" s="3650"/>
      <c r="M180" s="135"/>
      <c r="N180" s="3803">
        <f>'Part II-Sources of Funds'!$I$46</f>
        <v>0</v>
      </c>
      <c r="O180" s="3804"/>
      <c r="P180" s="3804"/>
      <c r="Q180" s="3805"/>
      <c r="S180" s="226" t="s">
        <v>736</v>
      </c>
      <c r="T180" s="2695"/>
      <c r="V180" s="614"/>
      <c r="W180" s="3707"/>
      <c r="X180" s="3708"/>
      <c r="AZ180" s="1810"/>
      <c r="BA180" s="1809">
        <v>180</v>
      </c>
    </row>
    <row r="181" spans="1:53" s="95" customFormat="1" ht="14.1" customHeight="1">
      <c r="B181" s="95" t="s">
        <v>737</v>
      </c>
      <c r="J181" s="3806">
        <f>J179/10</f>
        <v>1636439.7</v>
      </c>
      <c r="K181" s="3794"/>
      <c r="L181" s="3807"/>
      <c r="N181" s="262"/>
      <c r="O181" s="262"/>
      <c r="P181" s="262"/>
      <c r="Q181" s="262"/>
      <c r="R181" s="262"/>
      <c r="V181" s="614"/>
      <c r="W181" s="3707"/>
      <c r="X181" s="3708"/>
      <c r="AZ181" s="1810"/>
      <c r="BA181" s="1809">
        <v>181</v>
      </c>
    </row>
    <row r="182" spans="1:53" s="95" customFormat="1" ht="14.1" customHeight="1">
      <c r="M182" s="96"/>
      <c r="N182" s="3597" t="s">
        <v>738</v>
      </c>
      <c r="O182" s="3597"/>
      <c r="Q182" s="3597" t="s">
        <v>192</v>
      </c>
      <c r="R182" s="3597"/>
      <c r="V182" s="614"/>
      <c r="W182" s="3707"/>
      <c r="X182" s="3708"/>
      <c r="Z182" s="1235" t="s">
        <v>720</v>
      </c>
      <c r="AZ182" s="1810"/>
      <c r="BA182" s="1809">
        <v>182</v>
      </c>
    </row>
    <row r="183" spans="1:53" s="95" customFormat="1" ht="14.1" customHeight="1" thickBot="1">
      <c r="B183" s="95" t="s">
        <v>739</v>
      </c>
      <c r="J183" s="3808">
        <f>N183+Q183</f>
        <v>1.21</v>
      </c>
      <c r="K183" s="3809"/>
      <c r="L183" s="3810"/>
      <c r="M183" s="2517" t="s">
        <v>740</v>
      </c>
      <c r="N183" s="3811">
        <v>0.78</v>
      </c>
      <c r="O183" s="3812"/>
      <c r="P183" s="2517" t="s">
        <v>741</v>
      </c>
      <c r="Q183" s="3811">
        <v>0.43</v>
      </c>
      <c r="R183" s="3812"/>
      <c r="V183" s="614"/>
      <c r="W183" s="3707"/>
      <c r="X183" s="3708"/>
      <c r="Z183" s="1236">
        <f>'DCA Underwriting Assumptions'!Q135</f>
        <v>0</v>
      </c>
      <c r="AZ183" s="1810"/>
      <c r="BA183" s="1809">
        <v>183</v>
      </c>
    </row>
    <row r="184" spans="1:53" s="95" customFormat="1" ht="14.1" customHeight="1" thickBot="1">
      <c r="B184" s="151" t="s">
        <v>742</v>
      </c>
      <c r="J184" s="3675">
        <f>ROUNDDOWN(IF(J183=0,"",J181/J183),0)</f>
        <v>1352429</v>
      </c>
      <c r="K184" s="3802"/>
      <c r="L184" s="3676"/>
      <c r="M184" s="96"/>
      <c r="V184" s="614"/>
      <c r="W184" s="3707"/>
      <c r="X184" s="3708"/>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 customHeight="1">
      <c r="A186" s="238" t="s">
        <v>43</v>
      </c>
      <c r="B186" s="238" t="s">
        <v>743</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744</v>
      </c>
      <c r="J188" s="3819">
        <v>1350000</v>
      </c>
      <c r="K188" s="3820"/>
      <c r="L188" s="3821"/>
      <c r="Q188" s="98" t="s">
        <v>745</v>
      </c>
      <c r="R188" s="98"/>
      <c r="S188" s="3822" t="str">
        <f>'Part VIII Scoring Criteria'!$X$11</f>
        <v>Other Metro</v>
      </c>
      <c r="T188" s="3823"/>
      <c r="U188" s="1086" t="str">
        <f>IF(OR(S188="Atlanta Metro", "Other Metro"), "Metro", IF(S188="Rural","Rural",""))</f>
        <v/>
      </c>
      <c r="V188" s="614"/>
      <c r="W188" s="3707"/>
      <c r="X188" s="3708"/>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50000000000001" customHeight="1">
      <c r="B190" s="151" t="s">
        <v>746</v>
      </c>
      <c r="J190" s="3819">
        <v>1350000</v>
      </c>
      <c r="K190" s="3820"/>
      <c r="L190" s="3821"/>
      <c r="M190" s="3824" t="str">
        <f>IF(J188=0,"",IF(J190&gt;J188,"Request can't exceed Maximum - REVISE (Try Round Down)!",""))</f>
        <v/>
      </c>
      <c r="N190" s="3824"/>
      <c r="O190" s="3824"/>
      <c r="P190" s="3824"/>
      <c r="Q190" s="150" t="s">
        <v>747</v>
      </c>
      <c r="R190" s="98"/>
      <c r="S190" s="3822" t="str">
        <f>'Part VIII Scoring Criteria'!$M$11</f>
        <v>New Affordability</v>
      </c>
      <c r="T190" s="3823"/>
      <c r="V190" s="614"/>
      <c r="W190" s="3707"/>
      <c r="X190" s="3708"/>
      <c r="AZ190" s="1808"/>
      <c r="BA190" s="1809">
        <v>190</v>
      </c>
    </row>
    <row r="191" spans="1:53" s="95" customFormat="1" ht="3" customHeight="1">
      <c r="J191" s="201"/>
      <c r="K191" s="201"/>
      <c r="L191" s="201"/>
      <c r="M191" s="3824"/>
      <c r="N191" s="3824"/>
      <c r="O191" s="3824"/>
      <c r="P191" s="3824"/>
      <c r="Q191" s="98"/>
      <c r="R191" s="98"/>
      <c r="S191" s="150"/>
      <c r="T191" s="150"/>
      <c r="V191" s="617"/>
      <c r="W191" s="612"/>
      <c r="X191" s="613"/>
      <c r="AZ191" s="1808"/>
      <c r="BA191" s="1809">
        <v>191</v>
      </c>
    </row>
    <row r="192" spans="1:53" s="95" customFormat="1" ht="16.350000000000001" customHeight="1">
      <c r="A192" s="238"/>
      <c r="B192" s="238" t="s">
        <v>748</v>
      </c>
      <c r="D192" s="96"/>
      <c r="E192" s="96"/>
      <c r="F192" s="153"/>
      <c r="J192" s="3825">
        <f>IF(J190="",0,+MIN(J188,J190))</f>
        <v>1350000</v>
      </c>
      <c r="K192" s="3826"/>
      <c r="L192" s="3827"/>
      <c r="M192" s="3824"/>
      <c r="N192" s="3824"/>
      <c r="O192" s="3824"/>
      <c r="P192" s="3824"/>
      <c r="Q192" s="146" t="s">
        <v>627</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707"/>
      <c r="X192" s="3708"/>
      <c r="AZ192" s="1808"/>
      <c r="BA192" s="1809">
        <v>192</v>
      </c>
    </row>
    <row r="193" spans="1:53" ht="3" customHeight="1">
      <c r="BA193" s="1809">
        <v>193</v>
      </c>
    </row>
    <row r="194" spans="1:53" ht="6" customHeight="1">
      <c r="BA194" s="1809">
        <v>194</v>
      </c>
    </row>
    <row r="195" spans="1:53" ht="12" customHeight="1">
      <c r="A195" s="151" t="s">
        <v>57</v>
      </c>
      <c r="B195" s="159" t="s">
        <v>67</v>
      </c>
      <c r="N195" s="151" t="s">
        <v>66</v>
      </c>
      <c r="O195" s="151" t="s">
        <v>69</v>
      </c>
      <c r="AZ195" s="1810"/>
      <c r="BA195" s="1809">
        <v>195</v>
      </c>
    </row>
    <row r="196" spans="1:53" ht="268.5" customHeight="1">
      <c r="A196" s="3817"/>
      <c r="B196" s="3817"/>
      <c r="C196" s="3817"/>
      <c r="D196" s="3817"/>
      <c r="E196" s="3817"/>
      <c r="F196" s="3817"/>
      <c r="G196" s="3817"/>
      <c r="H196" s="3817"/>
      <c r="I196" s="3817"/>
      <c r="J196" s="3817"/>
      <c r="K196" s="3817"/>
      <c r="L196" s="3817"/>
      <c r="M196" s="3817"/>
      <c r="N196" s="3818"/>
      <c r="O196" s="3818"/>
      <c r="P196" s="3818"/>
      <c r="Q196" s="3818"/>
      <c r="R196" s="3818"/>
      <c r="S196" s="3818"/>
      <c r="T196" s="3818"/>
      <c r="V196" s="549"/>
      <c r="W196" s="3668" t="s">
        <v>288</v>
      </c>
      <c r="X196" s="3668"/>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85" customHeight="1">
      <c r="BA200" s="1809">
        <v>200</v>
      </c>
    </row>
    <row r="201" spans="1:53" s="95" customFormat="1" ht="14.85" customHeight="1">
      <c r="AZ201" s="1810"/>
      <c r="BA201" s="1809">
        <v>201</v>
      </c>
    </row>
    <row r="202" spans="1:53" s="95" customFormat="1" ht="14.85" customHeight="1">
      <c r="AZ202" s="1810"/>
      <c r="BA202" s="1809">
        <v>202</v>
      </c>
    </row>
    <row r="203" spans="1:53" s="95" customFormat="1" ht="14.85" customHeight="1">
      <c r="AZ203" s="1810"/>
      <c r="BA203" s="1809">
        <v>203</v>
      </c>
    </row>
    <row r="204" spans="1:53" ht="14.85" customHeight="1">
      <c r="AZ204" s="1810"/>
      <c r="BA204" s="1809">
        <v>204</v>
      </c>
    </row>
    <row r="205" spans="1:53" s="95" customFormat="1" ht="14.85" customHeight="1">
      <c r="A205" s="134"/>
      <c r="AZ205" s="1810"/>
      <c r="BA205" s="1809">
        <v>205</v>
      </c>
    </row>
    <row r="206" spans="1:53" ht="14.85" customHeight="1">
      <c r="AZ206" s="1810"/>
      <c r="BA206" s="1809">
        <v>206</v>
      </c>
    </row>
    <row r="207" spans="1:53" s="95" customFormat="1" ht="14.85" customHeight="1">
      <c r="AZ207" s="1810"/>
      <c r="BA207" s="1809">
        <v>207</v>
      </c>
    </row>
    <row r="208" spans="1:53" s="95" customFormat="1" ht="14.85" customHeight="1">
      <c r="A208" s="134"/>
      <c r="AZ208" s="1810"/>
      <c r="BA208" s="1809">
        <v>208</v>
      </c>
    </row>
    <row r="209" spans="1:53" s="95" customFormat="1" ht="14.85" customHeight="1">
      <c r="A209" s="267"/>
      <c r="AZ209" s="1810"/>
      <c r="BA209" s="1809">
        <v>209</v>
      </c>
    </row>
    <row r="210" spans="1:53" s="95" customFormat="1" ht="14.85" customHeight="1">
      <c r="AZ210" s="1808"/>
      <c r="BA210" s="1809">
        <v>210</v>
      </c>
    </row>
    <row r="211" spans="1:53" s="95" customFormat="1" ht="14.85" customHeight="1">
      <c r="A211" s="165"/>
      <c r="AZ211" s="1808"/>
      <c r="BA211" s="1809">
        <v>211</v>
      </c>
    </row>
    <row r="212" spans="1:53" s="95" customFormat="1" ht="14.85" customHeight="1">
      <c r="A212" s="165"/>
      <c r="AZ212" s="1808"/>
      <c r="BA212" s="1809">
        <v>212</v>
      </c>
    </row>
    <row r="213" spans="1:53" s="95" customFormat="1" ht="14.85" customHeight="1">
      <c r="A213" s="165"/>
      <c r="AZ213" s="1808"/>
      <c r="BA213" s="1809">
        <v>213</v>
      </c>
    </row>
    <row r="214" spans="1:53" s="95" customFormat="1" ht="14.85" customHeight="1">
      <c r="AZ214" s="1808"/>
      <c r="BA214" s="1809">
        <v>214</v>
      </c>
    </row>
    <row r="215" spans="1:53" s="95" customFormat="1" ht="14.85" customHeight="1">
      <c r="AZ215" s="1808"/>
      <c r="BA215" s="1809">
        <v>215</v>
      </c>
    </row>
    <row r="216" spans="1:53" ht="14.85" customHeight="1">
      <c r="BA216" s="1809">
        <v>216</v>
      </c>
    </row>
    <row r="217" spans="1:53" ht="14.85" customHeight="1">
      <c r="BA217" s="1809">
        <v>217</v>
      </c>
    </row>
    <row r="218" spans="1:53" ht="14.85" customHeight="1">
      <c r="AZ218" s="1810"/>
      <c r="BA218" s="1809">
        <v>218</v>
      </c>
    </row>
    <row r="219" spans="1:53" ht="14.85" customHeight="1">
      <c r="BA219" s="1809">
        <v>219</v>
      </c>
    </row>
    <row r="220" spans="1:53" ht="14.85" customHeight="1">
      <c r="BA220" s="1809">
        <v>220</v>
      </c>
    </row>
    <row r="221" spans="1:53" ht="14.85" customHeight="1">
      <c r="BA221" s="1809">
        <v>221</v>
      </c>
    </row>
    <row r="222" spans="1:53" ht="14.85" customHeight="1">
      <c r="BA222" s="1809">
        <v>222</v>
      </c>
    </row>
    <row r="223" spans="1:53" ht="14.85" customHeight="1">
      <c r="BA223" s="1809">
        <v>223</v>
      </c>
    </row>
    <row r="224" spans="1:53" s="95" customFormat="1" ht="14.85" customHeight="1">
      <c r="AZ224" s="1808"/>
      <c r="BA224" s="1809">
        <v>224</v>
      </c>
    </row>
    <row r="225" spans="11:53" ht="14.85" customHeight="1">
      <c r="BA225" s="1809">
        <v>225</v>
      </c>
    </row>
    <row r="226" spans="11:53" ht="14.85" customHeight="1">
      <c r="BA226" s="1809">
        <v>226</v>
      </c>
    </row>
    <row r="227" spans="11:53" ht="14.85" customHeight="1">
      <c r="BA227" s="1809">
        <v>227</v>
      </c>
    </row>
    <row r="228" spans="11:53" ht="14.85" customHeight="1">
      <c r="BA228" s="1809">
        <v>228</v>
      </c>
    </row>
    <row r="229" spans="11:53" ht="14.85" customHeight="1">
      <c r="BA229" s="1809">
        <v>229</v>
      </c>
    </row>
    <row r="230" spans="11:53" ht="14.85" customHeight="1">
      <c r="BA230" s="1809">
        <v>230</v>
      </c>
    </row>
    <row r="231" spans="11:53" ht="14.85" customHeight="1">
      <c r="BA231" s="1809">
        <v>231</v>
      </c>
    </row>
    <row r="232" spans="11:53" ht="14.85" customHeight="1">
      <c r="BA232" s="1809">
        <v>232</v>
      </c>
    </row>
    <row r="233" spans="11:53" ht="14.85" customHeight="1">
      <c r="BA233" s="1809">
        <v>233</v>
      </c>
    </row>
    <row r="234" spans="11:53" ht="14.85" customHeight="1">
      <c r="BA234" s="1809">
        <v>234</v>
      </c>
    </row>
    <row r="235" spans="11:53" ht="14.85" customHeight="1">
      <c r="BA235" s="1809">
        <v>235</v>
      </c>
    </row>
    <row r="236" spans="11:53" ht="14.85" customHeight="1">
      <c r="BA236" s="1809">
        <v>236</v>
      </c>
    </row>
    <row r="237" spans="11:53" ht="14.85" customHeight="1">
      <c r="BA237" s="1809">
        <v>237</v>
      </c>
    </row>
    <row r="238" spans="11:53" ht="14.85" customHeight="1">
      <c r="K238" s="1132"/>
      <c r="L238" s="95"/>
      <c r="BA238" s="1809">
        <v>238</v>
      </c>
    </row>
    <row r="239" spans="11:53" ht="14.85"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A196:M196"/>
    <mergeCell ref="N196:T196"/>
    <mergeCell ref="W196:X196"/>
    <mergeCell ref="J188:L188"/>
    <mergeCell ref="S188:T188"/>
    <mergeCell ref="W188:X188"/>
    <mergeCell ref="J190:L190"/>
    <mergeCell ref="M190:P192"/>
    <mergeCell ref="S190:T190"/>
    <mergeCell ref="W190:X190"/>
    <mergeCell ref="J192:L192"/>
    <mergeCell ref="W192:X192"/>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63:K163"/>
    <mergeCell ref="M163:N163"/>
    <mergeCell ref="P163:Q163"/>
    <mergeCell ref="R163:T164"/>
    <mergeCell ref="W163:X163"/>
    <mergeCell ref="J164:K164"/>
    <mergeCell ref="M164:N164"/>
    <mergeCell ref="P164:Q164"/>
    <mergeCell ref="W164:X16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G133:H133"/>
    <mergeCell ref="S133:T133"/>
    <mergeCell ref="W133:X133"/>
    <mergeCell ref="G134:H134"/>
    <mergeCell ref="J134:K134"/>
    <mergeCell ref="M134:N134"/>
    <mergeCell ref="P134:Q134"/>
    <mergeCell ref="S134:T134"/>
    <mergeCell ref="W134:X134"/>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22:H122"/>
    <mergeCell ref="J122:K122"/>
    <mergeCell ref="M122:N122"/>
    <mergeCell ref="P122:Q122"/>
    <mergeCell ref="S122:T122"/>
    <mergeCell ref="W122:X122"/>
    <mergeCell ref="AA122:AB122"/>
    <mergeCell ref="AA123:AB123"/>
    <mergeCell ref="AD120:AD121"/>
    <mergeCell ref="AC120:AC121"/>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18:H118"/>
    <mergeCell ref="J118:K118"/>
    <mergeCell ref="M118:N118"/>
    <mergeCell ref="P118:Q118"/>
    <mergeCell ref="S118:T118"/>
    <mergeCell ref="W118:X118"/>
    <mergeCell ref="G117:H117"/>
    <mergeCell ref="J117:K117"/>
    <mergeCell ref="M117:N117"/>
    <mergeCell ref="P117:Q117"/>
    <mergeCell ref="S117:T117"/>
    <mergeCell ref="W117:X117"/>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05:H105"/>
    <mergeCell ref="S105:T105"/>
    <mergeCell ref="W105:X105"/>
    <mergeCell ref="Y105:Y110"/>
    <mergeCell ref="G106:H106"/>
    <mergeCell ref="S106:T106"/>
    <mergeCell ref="W106:X106"/>
    <mergeCell ref="G107:H107"/>
    <mergeCell ref="S107:T107"/>
    <mergeCell ref="W107:X107"/>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1:H101"/>
    <mergeCell ref="J101:K101"/>
    <mergeCell ref="M101:N101"/>
    <mergeCell ref="P101:Q101"/>
    <mergeCell ref="S101:T101"/>
    <mergeCell ref="W101:X101"/>
    <mergeCell ref="G100:H100"/>
    <mergeCell ref="J100:K100"/>
    <mergeCell ref="M100:N100"/>
    <mergeCell ref="P100:Q100"/>
    <mergeCell ref="S100:T100"/>
    <mergeCell ref="W100:X100"/>
    <mergeCell ref="G99:H99"/>
    <mergeCell ref="J99:K99"/>
    <mergeCell ref="M99:N99"/>
    <mergeCell ref="P99:Q99"/>
    <mergeCell ref="S99:T99"/>
    <mergeCell ref="W99:X99"/>
    <mergeCell ref="W97:X97"/>
    <mergeCell ref="G98:H98"/>
    <mergeCell ref="J98:K98"/>
    <mergeCell ref="M98:N98"/>
    <mergeCell ref="P98:Q98"/>
    <mergeCell ref="S98:T98"/>
    <mergeCell ref="W98:X98"/>
    <mergeCell ref="J94:K95"/>
    <mergeCell ref="M94:N95"/>
    <mergeCell ref="P94:Q95"/>
    <mergeCell ref="S94:T95"/>
    <mergeCell ref="G95:H95"/>
    <mergeCell ref="G97:H97"/>
    <mergeCell ref="J97:K97"/>
    <mergeCell ref="M97:N97"/>
    <mergeCell ref="P97:Q97"/>
    <mergeCell ref="S97:T97"/>
    <mergeCell ref="G92:H92"/>
    <mergeCell ref="J92:K92"/>
    <mergeCell ref="M92:N92"/>
    <mergeCell ref="P92:Q92"/>
    <mergeCell ref="S92:T92"/>
    <mergeCell ref="W92:X92"/>
    <mergeCell ref="G91:H91"/>
    <mergeCell ref="J91:K91"/>
    <mergeCell ref="M91:N91"/>
    <mergeCell ref="P91:Q91"/>
    <mergeCell ref="S91:T91"/>
    <mergeCell ref="W91:X91"/>
    <mergeCell ref="G90:H90"/>
    <mergeCell ref="J90:K90"/>
    <mergeCell ref="M90:N90"/>
    <mergeCell ref="P90:Q90"/>
    <mergeCell ref="S90:T90"/>
    <mergeCell ref="W90:X90"/>
    <mergeCell ref="G89:H89"/>
    <mergeCell ref="J89:K89"/>
    <mergeCell ref="M89:N89"/>
    <mergeCell ref="P89:Q89"/>
    <mergeCell ref="S89:T89"/>
    <mergeCell ref="W89:X89"/>
    <mergeCell ref="G88:H88"/>
    <mergeCell ref="J88:K88"/>
    <mergeCell ref="M88:N88"/>
    <mergeCell ref="P88:Q88"/>
    <mergeCell ref="S88:T88"/>
    <mergeCell ref="W88:X88"/>
    <mergeCell ref="W85:X85"/>
    <mergeCell ref="G86:H86"/>
    <mergeCell ref="J86:K86"/>
    <mergeCell ref="M86:N86"/>
    <mergeCell ref="P86:Q86"/>
    <mergeCell ref="S86:T86"/>
    <mergeCell ref="W86:X86"/>
    <mergeCell ref="C85:F85"/>
    <mergeCell ref="G85:H85"/>
    <mergeCell ref="J85:K85"/>
    <mergeCell ref="M85:N85"/>
    <mergeCell ref="P85:Q85"/>
    <mergeCell ref="S85:T85"/>
    <mergeCell ref="G84:H84"/>
    <mergeCell ref="J84:K84"/>
    <mergeCell ref="M84:N84"/>
    <mergeCell ref="P84:Q84"/>
    <mergeCell ref="S84:T84"/>
    <mergeCell ref="W84:X84"/>
    <mergeCell ref="G83:H83"/>
    <mergeCell ref="J83:K83"/>
    <mergeCell ref="M83:N83"/>
    <mergeCell ref="P83:Q83"/>
    <mergeCell ref="S83:T83"/>
    <mergeCell ref="W83:X83"/>
    <mergeCell ref="G82:H82"/>
    <mergeCell ref="J82:K82"/>
    <mergeCell ref="M82:N82"/>
    <mergeCell ref="P82:Q82"/>
    <mergeCell ref="S82:T82"/>
    <mergeCell ref="W82:X82"/>
    <mergeCell ref="G81:H81"/>
    <mergeCell ref="J81:K81"/>
    <mergeCell ref="M81:N81"/>
    <mergeCell ref="P81:Q81"/>
    <mergeCell ref="S81:T81"/>
    <mergeCell ref="W81:X81"/>
    <mergeCell ref="G80:H80"/>
    <mergeCell ref="J80:K80"/>
    <mergeCell ref="M80:N80"/>
    <mergeCell ref="P80:Q80"/>
    <mergeCell ref="S80:T80"/>
    <mergeCell ref="W80:X80"/>
    <mergeCell ref="G79:H79"/>
    <mergeCell ref="J79:K79"/>
    <mergeCell ref="M79:N79"/>
    <mergeCell ref="P79:Q79"/>
    <mergeCell ref="S79:T79"/>
    <mergeCell ref="W79:X79"/>
    <mergeCell ref="G78:H78"/>
    <mergeCell ref="J78:K78"/>
    <mergeCell ref="M78:N78"/>
    <mergeCell ref="P78:Q78"/>
    <mergeCell ref="S78:T78"/>
    <mergeCell ref="W78:X78"/>
    <mergeCell ref="G77:H77"/>
    <mergeCell ref="J77:K77"/>
    <mergeCell ref="M77:N77"/>
    <mergeCell ref="P77:Q77"/>
    <mergeCell ref="S77:T77"/>
    <mergeCell ref="W77:X77"/>
    <mergeCell ref="G76:H76"/>
    <mergeCell ref="J76:K76"/>
    <mergeCell ref="M76:N76"/>
    <mergeCell ref="P76:Q76"/>
    <mergeCell ref="S76:T76"/>
    <mergeCell ref="W76:X76"/>
    <mergeCell ref="G75:H75"/>
    <mergeCell ref="J75:K75"/>
    <mergeCell ref="M75:N75"/>
    <mergeCell ref="P75:Q75"/>
    <mergeCell ref="S75:T75"/>
    <mergeCell ref="W75:X75"/>
    <mergeCell ref="G73:H73"/>
    <mergeCell ref="J73:K73"/>
    <mergeCell ref="M73:N73"/>
    <mergeCell ref="P73:Q73"/>
    <mergeCell ref="S73:T73"/>
    <mergeCell ref="W73:X73"/>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0:H70"/>
    <mergeCell ref="J70:K70"/>
    <mergeCell ref="M70:N70"/>
    <mergeCell ref="P70:Q70"/>
    <mergeCell ref="S70:T70"/>
    <mergeCell ref="W70:X70"/>
    <mergeCell ref="G69:H69"/>
    <mergeCell ref="J69:K69"/>
    <mergeCell ref="M69:N69"/>
    <mergeCell ref="P69:Q69"/>
    <mergeCell ref="S69:T69"/>
    <mergeCell ref="W69:X69"/>
    <mergeCell ref="G68:H68"/>
    <mergeCell ref="J68:K68"/>
    <mergeCell ref="M68:N68"/>
    <mergeCell ref="P68:Q68"/>
    <mergeCell ref="S68:T68"/>
    <mergeCell ref="W68:X68"/>
    <mergeCell ref="G67:H67"/>
    <mergeCell ref="J67:K67"/>
    <mergeCell ref="M67:N67"/>
    <mergeCell ref="P67:Q67"/>
    <mergeCell ref="S67:T67"/>
    <mergeCell ref="W67:X67"/>
    <mergeCell ref="G66:H66"/>
    <mergeCell ref="J66:K66"/>
    <mergeCell ref="M66:N66"/>
    <mergeCell ref="P66:Q66"/>
    <mergeCell ref="S66:T66"/>
    <mergeCell ref="W66:X66"/>
    <mergeCell ref="G65:H65"/>
    <mergeCell ref="J65:K65"/>
    <mergeCell ref="M65:N65"/>
    <mergeCell ref="P65:Q65"/>
    <mergeCell ref="S65:T65"/>
    <mergeCell ref="W65:X65"/>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55:H55"/>
    <mergeCell ref="J55:K55"/>
    <mergeCell ref="M55:N55"/>
    <mergeCell ref="P55:Q55"/>
    <mergeCell ref="S55:T55"/>
    <mergeCell ref="W55:X55"/>
    <mergeCell ref="J51:K52"/>
    <mergeCell ref="M51:N52"/>
    <mergeCell ref="P51:Q52"/>
    <mergeCell ref="S51:T52"/>
    <mergeCell ref="G52:H52"/>
    <mergeCell ref="W52:X52"/>
    <mergeCell ref="S46:T46"/>
    <mergeCell ref="W46:X49"/>
    <mergeCell ref="E48:E49"/>
    <mergeCell ref="J48:K48"/>
    <mergeCell ref="M48:N48"/>
    <mergeCell ref="P48:Q48"/>
    <mergeCell ref="S48:T48"/>
    <mergeCell ref="J49:K49"/>
    <mergeCell ref="M49:N49"/>
    <mergeCell ref="G43:H43"/>
    <mergeCell ref="C46:F46"/>
    <mergeCell ref="G46:H46"/>
    <mergeCell ref="J46:K46"/>
    <mergeCell ref="M46:N46"/>
    <mergeCell ref="P46:Q46"/>
    <mergeCell ref="G41:H41"/>
    <mergeCell ref="J41:K41"/>
    <mergeCell ref="M41:N41"/>
    <mergeCell ref="P41:Q41"/>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G35:H35"/>
    <mergeCell ref="J35:K35"/>
    <mergeCell ref="M35:N35"/>
    <mergeCell ref="P35:Q35"/>
    <mergeCell ref="S35:T35"/>
    <mergeCell ref="W35:X35"/>
    <mergeCell ref="G34:H34"/>
    <mergeCell ref="J34:K34"/>
    <mergeCell ref="M34:N34"/>
    <mergeCell ref="P34:Q34"/>
    <mergeCell ref="S34:T34"/>
    <mergeCell ref="W34:X34"/>
    <mergeCell ref="G33:H33"/>
    <mergeCell ref="J33:K33"/>
    <mergeCell ref="M33:N33"/>
    <mergeCell ref="P33:Q33"/>
    <mergeCell ref="S33:T33"/>
    <mergeCell ref="W33:X33"/>
    <mergeCell ref="G32:H32"/>
    <mergeCell ref="J32:K32"/>
    <mergeCell ref="M32:N32"/>
    <mergeCell ref="P32:Q32"/>
    <mergeCell ref="S32:T32"/>
    <mergeCell ref="W32:X32"/>
    <mergeCell ref="G31:H31"/>
    <mergeCell ref="J31:K31"/>
    <mergeCell ref="M31:N31"/>
    <mergeCell ref="P31:Q31"/>
    <mergeCell ref="S31:T31"/>
    <mergeCell ref="W31:X31"/>
    <mergeCell ref="G30:H30"/>
    <mergeCell ref="J30:K30"/>
    <mergeCell ref="M30:N30"/>
    <mergeCell ref="P30:Q30"/>
    <mergeCell ref="S30:T30"/>
    <mergeCell ref="W30:X30"/>
    <mergeCell ref="G28:H28"/>
    <mergeCell ref="J28:K28"/>
    <mergeCell ref="M28:N28"/>
    <mergeCell ref="P28:Q28"/>
    <mergeCell ref="S28:T28"/>
    <mergeCell ref="W28:X28"/>
    <mergeCell ref="G27:H27"/>
    <mergeCell ref="J27:K27"/>
    <mergeCell ref="M27:N27"/>
    <mergeCell ref="P27:Q27"/>
    <mergeCell ref="S27:T27"/>
    <mergeCell ref="W27:X27"/>
    <mergeCell ref="G24:H24"/>
    <mergeCell ref="M24:N24"/>
    <mergeCell ref="S24:T24"/>
    <mergeCell ref="W24:X24"/>
    <mergeCell ref="G26:H26"/>
    <mergeCell ref="J26:K26"/>
    <mergeCell ref="M26:N26"/>
    <mergeCell ref="P26:Q26"/>
    <mergeCell ref="S26:T26"/>
    <mergeCell ref="W26:X26"/>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W17:X17"/>
    <mergeCell ref="G18:H18"/>
    <mergeCell ref="J18:K18"/>
    <mergeCell ref="M18:N18"/>
    <mergeCell ref="P18:Q18"/>
    <mergeCell ref="S18:T18"/>
    <mergeCell ref="W18:X18"/>
    <mergeCell ref="C17:F17"/>
    <mergeCell ref="G17:H17"/>
    <mergeCell ref="J17:K17"/>
    <mergeCell ref="M17:N17"/>
    <mergeCell ref="P17:Q17"/>
    <mergeCell ref="S17:T17"/>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G14:H14"/>
    <mergeCell ref="J14:K14"/>
    <mergeCell ref="M14:N14"/>
    <mergeCell ref="P14:Q14"/>
    <mergeCell ref="S14:T14"/>
    <mergeCell ref="W14:X14"/>
    <mergeCell ref="G13:H13"/>
    <mergeCell ref="J13:K13"/>
    <mergeCell ref="M13:N13"/>
    <mergeCell ref="P13:Q13"/>
    <mergeCell ref="S13:T13"/>
    <mergeCell ref="W13:X13"/>
    <mergeCell ref="G12:H12"/>
    <mergeCell ref="J12:K12"/>
    <mergeCell ref="M12:N12"/>
    <mergeCell ref="P12:Q12"/>
    <mergeCell ref="S12:T12"/>
    <mergeCell ref="W12:X12"/>
    <mergeCell ref="G11:H11"/>
    <mergeCell ref="J11:K11"/>
    <mergeCell ref="M11:N11"/>
    <mergeCell ref="P11:Q11"/>
    <mergeCell ref="S11:T11"/>
    <mergeCell ref="W11:X11"/>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workbookViewId="0">
      <selection activeCell="A9" sqref="A9:D10"/>
    </sheetView>
  </sheetViews>
  <sheetFormatPr defaultColWidth="9.140625" defaultRowHeight="15"/>
  <cols>
    <col min="1" max="1" width="7.140625" style="306" customWidth="1"/>
    <col min="2" max="2" width="12.85546875" style="306" customWidth="1"/>
    <col min="3" max="3" width="7.85546875" style="306" customWidth="1"/>
    <col min="4" max="4" width="12.85546875" style="306" customWidth="1"/>
    <col min="5" max="5" width="0.85546875" style="306" customWidth="1"/>
    <col min="6" max="6" width="46.85546875" style="306" customWidth="1"/>
    <col min="7" max="7" width="0.85546875" style="306" customWidth="1"/>
    <col min="8" max="8" width="46.85546875" style="306" customWidth="1"/>
    <col min="9" max="17" width="9.140625" style="306"/>
    <col min="18" max="18" width="7" style="1807" customWidth="1"/>
    <col min="19" max="16384" width="9.140625" style="306"/>
  </cols>
  <sheetData>
    <row r="1" spans="1:18" ht="15.75">
      <c r="A1" s="3865" t="str">
        <f>CONCATENATE("PART THREE (B) -  OTHER COSTS","  -  ",'Part I-Project Identification'!$O$7," - ",'Part I-Project Identification'!$F$27,"  -  ",'Part I-Project Identification'!$F$28,"  -  ",'Part I-Project Identification'!$J$28,",  ","County")</f>
        <v>PART THREE (B) -  OTHER COSTS  -  2026-0xx - Westchester Village II  -  Jonesboro  -  Clayton,  County</v>
      </c>
      <c r="B1" s="3866"/>
      <c r="C1" s="3866"/>
      <c r="D1" s="3866"/>
      <c r="E1" s="3866"/>
      <c r="F1" s="3866"/>
      <c r="G1" s="3866"/>
      <c r="H1" s="3866"/>
      <c r="I1" s="525"/>
      <c r="J1" s="525"/>
      <c r="K1" s="525"/>
      <c r="L1" s="525"/>
      <c r="M1" s="525"/>
      <c r="N1" s="525"/>
      <c r="R1" s="1803">
        <v>1</v>
      </c>
    </row>
    <row r="2" spans="1:18" ht="9" customHeight="1">
      <c r="R2" s="1803">
        <v>2</v>
      </c>
    </row>
    <row r="3" spans="1:18" ht="57" customHeight="1">
      <c r="A3" s="3867" t="s">
        <v>749</v>
      </c>
      <c r="B3" s="3868"/>
      <c r="C3" s="3868"/>
      <c r="D3" s="3868"/>
      <c r="E3" s="3868"/>
      <c r="F3" s="3868"/>
      <c r="G3" s="3868"/>
      <c r="H3" s="3869"/>
      <c r="R3" s="1803">
        <v>3</v>
      </c>
    </row>
    <row r="4" spans="1:18" ht="6" customHeight="1">
      <c r="R4" s="1803">
        <v>4</v>
      </c>
    </row>
    <row r="5" spans="1:18" ht="38.25" customHeight="1">
      <c r="A5" s="3870" t="s">
        <v>750</v>
      </c>
      <c r="B5" s="3870"/>
      <c r="C5" s="3870"/>
      <c r="D5" s="3870"/>
      <c r="F5" s="2696" t="s">
        <v>751</v>
      </c>
      <c r="G5" s="313"/>
      <c r="H5" s="2696" t="s">
        <v>752</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75">
      <c r="A8" s="538" t="s">
        <v>517</v>
      </c>
      <c r="B8" s="528"/>
      <c r="C8" s="528"/>
      <c r="D8" s="528"/>
      <c r="E8" s="528"/>
      <c r="F8" s="528"/>
      <c r="G8" s="528"/>
      <c r="H8" s="528"/>
      <c r="R8" s="1804">
        <v>8</v>
      </c>
    </row>
    <row r="9" spans="1:18" s="527" customFormat="1" ht="41.25" customHeight="1">
      <c r="A9" s="3871" t="str">
        <f>'Part III-A-Uses of Funds'!$C$15</f>
        <v>&lt;&lt; Enter description here; provide detail &amp; justification in tab Part III-b &gt;&gt;</v>
      </c>
      <c r="B9" s="3872"/>
      <c r="C9" s="3872"/>
      <c r="D9" s="3873"/>
      <c r="F9" s="3877"/>
      <c r="G9" s="528"/>
      <c r="H9" s="3877"/>
      <c r="R9" s="1804">
        <v>9</v>
      </c>
    </row>
    <row r="10" spans="1:18" s="527" customFormat="1" ht="41.25" customHeight="1">
      <c r="A10" s="3874"/>
      <c r="B10" s="3875"/>
      <c r="C10" s="3875"/>
      <c r="D10" s="3876"/>
      <c r="F10" s="3878"/>
      <c r="G10" s="528"/>
      <c r="H10" s="3878"/>
      <c r="R10" s="1803">
        <v>10</v>
      </c>
    </row>
    <row r="11" spans="1:18" s="527" customFormat="1" ht="4.5" customHeight="1">
      <c r="F11" s="3878"/>
      <c r="G11" s="528"/>
      <c r="H11" s="3878"/>
      <c r="R11" s="1803">
        <v>11</v>
      </c>
    </row>
    <row r="12" spans="1:18" s="527" customFormat="1" ht="15" customHeight="1">
      <c r="A12" s="537" t="s">
        <v>753</v>
      </c>
      <c r="B12" s="536">
        <f>'Part III-A-Uses of Funds'!$G$15</f>
        <v>0</v>
      </c>
      <c r="C12" s="537" t="s">
        <v>713</v>
      </c>
      <c r="D12" s="536">
        <f>'Part III-A-Uses of Funds'!$J$15+'Part III-A-Uses of Funds'!$M$15+'Part III-A-Uses of Funds'!$P$15</f>
        <v>0</v>
      </c>
      <c r="F12" s="3878"/>
      <c r="G12" s="528"/>
      <c r="H12" s="3878"/>
      <c r="R12" s="1803">
        <v>12</v>
      </c>
    </row>
    <row r="13" spans="1:18" s="527" customFormat="1" ht="6" customHeight="1">
      <c r="A13" s="528"/>
      <c r="B13" s="529"/>
      <c r="C13" s="528"/>
      <c r="D13" s="528"/>
      <c r="F13" s="3878"/>
      <c r="G13" s="530"/>
      <c r="H13" s="3878"/>
      <c r="R13" s="1803">
        <v>13</v>
      </c>
    </row>
    <row r="14" spans="1:18" s="527" customFormat="1" ht="41.25" customHeight="1">
      <c r="A14" s="3871" t="str">
        <f>'Part III-A-Uses of Funds'!$C$16</f>
        <v>&lt;&lt; Enter description here; provide detail &amp; justification in tab Part III-b &gt;&gt;</v>
      </c>
      <c r="B14" s="3872"/>
      <c r="C14" s="3872"/>
      <c r="D14" s="3873"/>
      <c r="F14" s="3878"/>
      <c r="G14" s="528"/>
      <c r="H14" s="3878"/>
      <c r="R14" s="1803">
        <v>14</v>
      </c>
    </row>
    <row r="15" spans="1:18" s="527" customFormat="1" ht="41.25" customHeight="1">
      <c r="A15" s="3874"/>
      <c r="B15" s="3875"/>
      <c r="C15" s="3875"/>
      <c r="D15" s="3876"/>
      <c r="F15" s="3878"/>
      <c r="G15" s="528"/>
      <c r="H15" s="3878"/>
      <c r="R15" s="1803">
        <v>15</v>
      </c>
    </row>
    <row r="16" spans="1:18" s="527" customFormat="1" ht="4.5" customHeight="1">
      <c r="F16" s="3878"/>
      <c r="G16" s="528"/>
      <c r="H16" s="3878"/>
      <c r="R16" s="1804">
        <v>16</v>
      </c>
    </row>
    <row r="17" spans="1:18" s="527" customFormat="1" ht="15" customHeight="1">
      <c r="A17" s="537" t="s">
        <v>753</v>
      </c>
      <c r="B17" s="536">
        <f>'Part III-A-Uses of Funds'!$G$16</f>
        <v>0</v>
      </c>
      <c r="C17" s="537" t="s">
        <v>713</v>
      </c>
      <c r="D17" s="536">
        <f>'Part III-A-Uses of Funds'!$J$16+'Part III-A-Uses of Funds'!$M$16+'Part III-A-Uses of Funds'!$P$16</f>
        <v>0</v>
      </c>
      <c r="F17" s="3878"/>
      <c r="G17" s="528"/>
      <c r="H17" s="3878"/>
      <c r="R17" s="1804">
        <v>17</v>
      </c>
    </row>
    <row r="18" spans="1:18" s="527" customFormat="1" ht="6" customHeight="1">
      <c r="A18" s="528"/>
      <c r="B18" s="529"/>
      <c r="C18" s="528"/>
      <c r="D18" s="528"/>
      <c r="F18" s="3878"/>
      <c r="G18" s="530"/>
      <c r="H18" s="3878"/>
      <c r="R18" s="1804">
        <v>18</v>
      </c>
    </row>
    <row r="19" spans="1:18" s="527" customFormat="1" ht="41.25" customHeight="1">
      <c r="A19" s="3871" t="str">
        <f>'Part III-A-Uses of Funds'!$C$17</f>
        <v>&lt;&lt; Enter description here; provide detail &amp; justification in tab Part III-b &gt;&gt;</v>
      </c>
      <c r="B19" s="3872"/>
      <c r="C19" s="3872"/>
      <c r="D19" s="3873"/>
      <c r="F19" s="3878"/>
      <c r="G19" s="528"/>
      <c r="H19" s="3878"/>
      <c r="R19" s="1803">
        <v>19</v>
      </c>
    </row>
    <row r="20" spans="1:18" s="527" customFormat="1" ht="41.25" customHeight="1">
      <c r="A20" s="3874"/>
      <c r="B20" s="3875"/>
      <c r="C20" s="3875"/>
      <c r="D20" s="3876"/>
      <c r="F20" s="3878"/>
      <c r="G20" s="528"/>
      <c r="H20" s="3878"/>
      <c r="R20" s="1803">
        <v>20</v>
      </c>
    </row>
    <row r="21" spans="1:18" s="527" customFormat="1" ht="4.5" customHeight="1">
      <c r="F21" s="3878"/>
      <c r="G21" s="528"/>
      <c r="H21" s="3878"/>
      <c r="R21" s="1803">
        <v>21</v>
      </c>
    </row>
    <row r="22" spans="1:18" s="527" customFormat="1" ht="15" customHeight="1">
      <c r="A22" s="537" t="s">
        <v>753</v>
      </c>
      <c r="B22" s="536">
        <f>'Part III-A-Uses of Funds'!$G$17</f>
        <v>0</v>
      </c>
      <c r="C22" s="537" t="s">
        <v>713</v>
      </c>
      <c r="D22" s="536">
        <f>'Part III-A-Uses of Funds'!$J$17+'Part III-A-Uses of Funds'!$M$17+'Part III-A-Uses of Funds'!$P$17</f>
        <v>0</v>
      </c>
      <c r="F22" s="3878"/>
      <c r="G22" s="528"/>
      <c r="H22" s="3878"/>
      <c r="R22" s="1803">
        <v>22</v>
      </c>
    </row>
    <row r="23" spans="1:18" s="527" customFormat="1" ht="6" customHeight="1">
      <c r="A23" s="528"/>
      <c r="B23" s="529"/>
      <c r="C23" s="528"/>
      <c r="D23" s="528"/>
      <c r="F23" s="3879"/>
      <c r="G23" s="530"/>
      <c r="H23" s="3879"/>
      <c r="R23" s="1803">
        <v>23</v>
      </c>
    </row>
    <row r="24" spans="1:18" s="527" customFormat="1" ht="15.75">
      <c r="A24" s="538" t="s">
        <v>754</v>
      </c>
      <c r="B24" s="528"/>
      <c r="C24" s="528"/>
      <c r="D24" s="528"/>
      <c r="E24" s="528"/>
      <c r="F24" s="528"/>
      <c r="G24" s="528"/>
      <c r="R24" s="1803">
        <v>24</v>
      </c>
    </row>
    <row r="25" spans="1:18" s="527" customFormat="1" ht="41.25" customHeight="1">
      <c r="A25" s="3871" t="str">
        <f>'Part III-A-Uses of Funds'!$C$46</f>
        <v>&lt;&lt; Enter description here; provide detail &amp; justification in tab Part III-b &gt;&gt;</v>
      </c>
      <c r="B25" s="3872"/>
      <c r="C25" s="3872"/>
      <c r="D25" s="3873"/>
      <c r="E25" s="528"/>
      <c r="F25" s="3880"/>
      <c r="G25" s="528"/>
      <c r="H25" s="3880"/>
      <c r="R25" s="1804">
        <v>25</v>
      </c>
    </row>
    <row r="26" spans="1:18" s="527" customFormat="1" ht="41.25" customHeight="1">
      <c r="A26" s="3874"/>
      <c r="B26" s="3875"/>
      <c r="C26" s="3875"/>
      <c r="D26" s="3876"/>
      <c r="E26" s="528"/>
      <c r="F26" s="3881"/>
      <c r="G26" s="528"/>
      <c r="H26" s="3881"/>
      <c r="R26" s="1804">
        <v>26</v>
      </c>
    </row>
    <row r="27" spans="1:18" s="527" customFormat="1" ht="4.5" customHeight="1">
      <c r="A27" s="528"/>
      <c r="B27" s="528"/>
      <c r="C27" s="528"/>
      <c r="D27" s="528"/>
      <c r="E27" s="528"/>
      <c r="F27" s="3881"/>
      <c r="G27" s="528"/>
      <c r="H27" s="3881"/>
      <c r="R27" s="1804">
        <v>27</v>
      </c>
    </row>
    <row r="28" spans="1:18" s="527" customFormat="1" ht="25.5">
      <c r="A28" s="537" t="s">
        <v>753</v>
      </c>
      <c r="B28" s="536">
        <f>'Part III-A-Uses of Funds'!$G$46</f>
        <v>0</v>
      </c>
      <c r="C28" s="537" t="s">
        <v>713</v>
      </c>
      <c r="D28" s="536">
        <f>'Part III-A-Uses of Funds'!$J$46+'Part III-A-Uses of Funds'!$M$46+'Part III-A-Uses of Funds'!$P$46</f>
        <v>0</v>
      </c>
      <c r="E28" s="528"/>
      <c r="F28" s="3881"/>
      <c r="G28" s="528"/>
      <c r="H28" s="3881"/>
      <c r="R28" s="1803">
        <v>28</v>
      </c>
    </row>
    <row r="29" spans="1:18" s="527" customFormat="1" ht="6" customHeight="1">
      <c r="A29" s="528"/>
      <c r="B29" s="529"/>
      <c r="C29" s="528"/>
      <c r="D29" s="528"/>
      <c r="E29" s="528"/>
      <c r="F29" s="3882"/>
      <c r="G29" s="530"/>
      <c r="H29" s="3882"/>
      <c r="R29" s="1803">
        <v>29</v>
      </c>
    </row>
    <row r="30" spans="1:18" s="527" customFormat="1" ht="15.75">
      <c r="A30" s="538" t="s">
        <v>579</v>
      </c>
      <c r="B30" s="528"/>
      <c r="C30" s="528"/>
      <c r="D30" s="528"/>
      <c r="E30" s="528"/>
      <c r="F30" s="528"/>
      <c r="G30" s="528"/>
      <c r="R30" s="1803">
        <v>30</v>
      </c>
    </row>
    <row r="31" spans="1:18" s="527" customFormat="1" ht="41.25" customHeight="1">
      <c r="A31" s="3883" t="str">
        <f>'Part III-A-Uses of Funds'!$C$71</f>
        <v>&lt;&lt; Enter description here; provide detail &amp; justification in tab Part III-b &gt;&gt;</v>
      </c>
      <c r="B31" s="3884"/>
      <c r="C31" s="3884"/>
      <c r="D31" s="3885"/>
      <c r="E31" s="528"/>
      <c r="F31" s="3877"/>
      <c r="G31" s="528"/>
      <c r="H31" s="3877"/>
      <c r="R31" s="1803">
        <v>31</v>
      </c>
    </row>
    <row r="32" spans="1:18" s="527" customFormat="1" ht="41.25" customHeight="1">
      <c r="A32" s="3874"/>
      <c r="B32" s="3875"/>
      <c r="C32" s="3875"/>
      <c r="D32" s="3876"/>
      <c r="E32" s="528"/>
      <c r="F32" s="3878"/>
      <c r="G32" s="528"/>
      <c r="H32" s="3878"/>
      <c r="R32" s="1803">
        <v>32</v>
      </c>
    </row>
    <row r="33" spans="1:18" s="527" customFormat="1" ht="4.5" customHeight="1">
      <c r="A33" s="528"/>
      <c r="B33" s="528"/>
      <c r="C33" s="528"/>
      <c r="D33" s="528"/>
      <c r="E33" s="528"/>
      <c r="F33" s="3878"/>
      <c r="G33" s="528"/>
      <c r="H33" s="3878"/>
      <c r="R33" s="1803">
        <v>33</v>
      </c>
    </row>
    <row r="34" spans="1:18" s="527" customFormat="1" ht="14.25" customHeight="1">
      <c r="A34" s="537" t="s">
        <v>753</v>
      </c>
      <c r="B34" s="536">
        <f>'Part III-A-Uses of Funds'!$G$71</f>
        <v>0</v>
      </c>
      <c r="C34" s="537" t="s">
        <v>713</v>
      </c>
      <c r="D34" s="536">
        <f>'Part III-A-Uses of Funds'!$J$71+'Part III-A-Uses of Funds'!$M$71+'Part III-A-Uses of Funds'!$P$71</f>
        <v>0</v>
      </c>
      <c r="E34" s="528"/>
      <c r="F34" s="3878"/>
      <c r="G34" s="528"/>
      <c r="H34" s="3878"/>
      <c r="R34" s="1804">
        <v>34</v>
      </c>
    </row>
    <row r="35" spans="1:18" s="527" customFormat="1" ht="6" customHeight="1">
      <c r="D35" s="528"/>
      <c r="E35" s="528"/>
      <c r="F35" s="3878"/>
      <c r="G35" s="530"/>
      <c r="H35" s="3878"/>
      <c r="R35" s="1804">
        <v>35</v>
      </c>
    </row>
    <row r="36" spans="1:18" s="527" customFormat="1" ht="41.25" customHeight="1">
      <c r="A36" s="3883" t="str">
        <f>'Part III-A-Uses of Funds'!$C$72</f>
        <v>&lt;&lt; Enter description here; provide detail &amp; justification in tab Part III-b &gt;&gt;</v>
      </c>
      <c r="B36" s="3884"/>
      <c r="C36" s="3884"/>
      <c r="D36" s="3885"/>
      <c r="E36" s="528"/>
      <c r="F36" s="3878"/>
      <c r="G36" s="528"/>
      <c r="H36" s="3878"/>
      <c r="R36" s="1804">
        <v>36</v>
      </c>
    </row>
    <row r="37" spans="1:18" s="527" customFormat="1" ht="41.25" customHeight="1">
      <c r="A37" s="3874"/>
      <c r="B37" s="3875"/>
      <c r="C37" s="3875"/>
      <c r="D37" s="3876"/>
      <c r="E37" s="528"/>
      <c r="F37" s="3878"/>
      <c r="G37" s="528"/>
      <c r="H37" s="3878"/>
      <c r="R37" s="1803">
        <v>37</v>
      </c>
    </row>
    <row r="38" spans="1:18" s="527" customFormat="1" ht="4.5" customHeight="1">
      <c r="A38" s="528"/>
      <c r="B38" s="528"/>
      <c r="C38" s="528"/>
      <c r="D38" s="528"/>
      <c r="E38" s="528"/>
      <c r="F38" s="3878"/>
      <c r="G38" s="528"/>
      <c r="H38" s="3878"/>
      <c r="R38" s="1803">
        <v>38</v>
      </c>
    </row>
    <row r="39" spans="1:18" s="527" customFormat="1" ht="14.25" customHeight="1">
      <c r="A39" s="537" t="s">
        <v>753</v>
      </c>
      <c r="B39" s="536">
        <f>'Part III-A-Uses of Funds'!$G$72</f>
        <v>0</v>
      </c>
      <c r="C39" s="537" t="s">
        <v>713</v>
      </c>
      <c r="D39" s="536">
        <f>'Part III-A-Uses of Funds'!$J$72+'Part III-A-Uses of Funds'!$M$72+'Part III-A-Uses of Funds'!$P$72</f>
        <v>0</v>
      </c>
      <c r="E39" s="528"/>
      <c r="F39" s="3878"/>
      <c r="G39" s="528"/>
      <c r="H39" s="3878"/>
      <c r="R39" s="1803">
        <v>39</v>
      </c>
    </row>
    <row r="40" spans="1:18" s="527" customFormat="1" ht="6" customHeight="1">
      <c r="D40" s="528"/>
      <c r="E40" s="528"/>
      <c r="F40" s="3879"/>
      <c r="G40" s="530"/>
      <c r="H40" s="3879"/>
      <c r="R40" s="1803">
        <v>40</v>
      </c>
    </row>
    <row r="41" spans="1:18" s="527" customFormat="1" ht="15.75">
      <c r="A41" s="538" t="s">
        <v>595</v>
      </c>
      <c r="B41" s="528"/>
      <c r="C41" s="528"/>
      <c r="D41" s="528"/>
      <c r="E41" s="532"/>
      <c r="F41" s="532"/>
      <c r="G41" s="528"/>
      <c r="R41" s="1803">
        <v>41</v>
      </c>
    </row>
    <row r="42" spans="1:18" s="527" customFormat="1" ht="41.25" customHeight="1">
      <c r="A42" s="3883" t="str">
        <f>'Part III-A-Uses of Funds'!$C$85</f>
        <v>&lt;&lt; Enter description here; provide detail &amp; justification in tab Part III-b &gt;&gt;</v>
      </c>
      <c r="B42" s="3884"/>
      <c r="C42" s="3884"/>
      <c r="D42" s="3885"/>
      <c r="F42" s="3880"/>
      <c r="G42" s="528"/>
      <c r="H42" s="3880"/>
      <c r="R42" s="1803">
        <v>42</v>
      </c>
    </row>
    <row r="43" spans="1:18" s="527" customFormat="1" ht="41.25" customHeight="1">
      <c r="A43" s="3874"/>
      <c r="B43" s="3875"/>
      <c r="C43" s="3875"/>
      <c r="D43" s="3876"/>
      <c r="E43" s="528"/>
      <c r="F43" s="3881"/>
      <c r="G43" s="528"/>
      <c r="H43" s="3881"/>
      <c r="R43" s="1804">
        <v>43</v>
      </c>
    </row>
    <row r="44" spans="1:18" s="527" customFormat="1" ht="4.5" customHeight="1">
      <c r="A44" s="528"/>
      <c r="B44" s="528"/>
      <c r="C44" s="528"/>
      <c r="D44" s="528"/>
      <c r="E44" s="528"/>
      <c r="F44" s="3881"/>
      <c r="G44" s="528"/>
      <c r="H44" s="3881"/>
      <c r="R44" s="1804">
        <v>44</v>
      </c>
    </row>
    <row r="45" spans="1:18" s="527" customFormat="1" ht="13.5" customHeight="1">
      <c r="A45" s="537" t="s">
        <v>753</v>
      </c>
      <c r="B45" s="536">
        <f>'Part III-A-Uses of Funds'!$G$85</f>
        <v>0</v>
      </c>
      <c r="C45" s="537" t="s">
        <v>713</v>
      </c>
      <c r="D45" s="536">
        <f>'Part III-A-Uses of Funds'!$J$85+'Part III-A-Uses of Funds'!$M$85+'Part III-A-Uses of Funds'!$P$85</f>
        <v>0</v>
      </c>
      <c r="E45" s="528"/>
      <c r="F45" s="3881"/>
      <c r="G45" s="528"/>
      <c r="H45" s="3881"/>
      <c r="R45" s="1804">
        <v>45</v>
      </c>
    </row>
    <row r="46" spans="1:18" s="527" customFormat="1" ht="6" customHeight="1">
      <c r="A46" s="528"/>
      <c r="B46" s="529"/>
      <c r="C46" s="528"/>
      <c r="D46" s="528"/>
      <c r="E46" s="528"/>
      <c r="F46" s="3882"/>
      <c r="G46" s="530"/>
      <c r="H46" s="3882"/>
      <c r="R46" s="1803">
        <v>46</v>
      </c>
    </row>
    <row r="47" spans="1:18" s="527" customFormat="1" ht="15.75">
      <c r="A47" s="538" t="s">
        <v>618</v>
      </c>
      <c r="B47" s="528"/>
      <c r="C47" s="528"/>
      <c r="D47" s="528"/>
      <c r="E47" s="528"/>
      <c r="F47" s="528"/>
      <c r="G47" s="528"/>
      <c r="R47" s="1803">
        <v>47</v>
      </c>
    </row>
    <row r="48" spans="1:18" s="527" customFormat="1" ht="41.25" customHeight="1">
      <c r="A48" s="3883" t="str">
        <f>'Part III-A-Uses of Funds'!$C$102</f>
        <v>&lt;&lt; Enter description here; provide detail &amp; justification in tab Part III-b &gt;&gt;</v>
      </c>
      <c r="B48" s="3884"/>
      <c r="C48" s="3884"/>
      <c r="D48" s="3885"/>
      <c r="F48" s="3880"/>
      <c r="G48" s="528"/>
      <c r="R48" s="1803">
        <v>48</v>
      </c>
    </row>
    <row r="49" spans="1:18" s="527" customFormat="1" ht="41.25" customHeight="1">
      <c r="A49" s="3874"/>
      <c r="B49" s="3875"/>
      <c r="C49" s="3875"/>
      <c r="D49" s="3876"/>
      <c r="E49" s="528"/>
      <c r="F49" s="3881"/>
      <c r="G49" s="528"/>
      <c r="R49" s="1803">
        <v>49</v>
      </c>
    </row>
    <row r="50" spans="1:18" s="527" customFormat="1" ht="3" customHeight="1">
      <c r="A50" s="528"/>
      <c r="B50" s="528"/>
      <c r="C50" s="528"/>
      <c r="D50" s="528"/>
      <c r="E50" s="528"/>
      <c r="F50" s="3881"/>
      <c r="G50" s="528"/>
      <c r="R50" s="1803">
        <v>50</v>
      </c>
    </row>
    <row r="51" spans="1:18" s="527" customFormat="1" ht="13.5" customHeight="1">
      <c r="A51" s="537" t="s">
        <v>753</v>
      </c>
      <c r="B51" s="536">
        <f>'Part III-A-Uses of Funds'!$G$102</f>
        <v>0</v>
      </c>
      <c r="C51" s="531"/>
      <c r="D51" s="531"/>
      <c r="E51" s="528"/>
      <c r="F51" s="3881"/>
      <c r="G51" s="528"/>
      <c r="R51" s="1803">
        <v>51</v>
      </c>
    </row>
    <row r="52" spans="1:18" s="527" customFormat="1" ht="3.75" customHeight="1">
      <c r="A52" s="528"/>
      <c r="B52" s="528"/>
      <c r="C52" s="528"/>
      <c r="D52" s="528"/>
      <c r="E52" s="528"/>
      <c r="F52" s="3882"/>
      <c r="G52" s="530"/>
      <c r="R52" s="1804">
        <v>52</v>
      </c>
    </row>
    <row r="53" spans="1:18" s="527" customFormat="1" ht="15.75">
      <c r="A53" s="538" t="s">
        <v>755</v>
      </c>
      <c r="B53" s="528"/>
      <c r="C53" s="528"/>
      <c r="D53" s="528"/>
      <c r="E53" s="528"/>
      <c r="F53" s="528"/>
      <c r="G53" s="528"/>
      <c r="R53" s="1804">
        <v>53</v>
      </c>
    </row>
    <row r="54" spans="1:18" s="527" customFormat="1" ht="41.25" customHeight="1">
      <c r="A54" s="3883" t="str">
        <f>'Part III-A-Uses of Funds'!$C$112</f>
        <v>&lt;&lt; Enter description here; provide detail &amp; justification in tab Part III-b &gt;&gt;</v>
      </c>
      <c r="B54" s="3884"/>
      <c r="C54" s="3884"/>
      <c r="D54" s="3885"/>
      <c r="F54" s="3877"/>
      <c r="G54" s="528"/>
      <c r="R54" s="1804">
        <v>54</v>
      </c>
    </row>
    <row r="55" spans="1:18" s="527" customFormat="1" ht="41.25" customHeight="1">
      <c r="A55" s="3874"/>
      <c r="B55" s="3875"/>
      <c r="C55" s="3875"/>
      <c r="D55" s="3876"/>
      <c r="E55" s="528"/>
      <c r="F55" s="3878"/>
      <c r="G55" s="528"/>
      <c r="R55" s="1803">
        <v>55</v>
      </c>
    </row>
    <row r="56" spans="1:18" s="527" customFormat="1" ht="3" customHeight="1">
      <c r="A56" s="528"/>
      <c r="B56" s="528"/>
      <c r="C56" s="528"/>
      <c r="D56" s="528"/>
      <c r="E56" s="528"/>
      <c r="F56" s="3878"/>
      <c r="G56" s="528"/>
      <c r="R56" s="1803">
        <v>56</v>
      </c>
    </row>
    <row r="57" spans="1:18" s="527" customFormat="1" ht="25.5">
      <c r="A57" s="537" t="s">
        <v>753</v>
      </c>
      <c r="B57" s="536">
        <f>'Part III-A-Uses of Funds'!$G$112</f>
        <v>0</v>
      </c>
      <c r="C57" s="531"/>
      <c r="D57" s="531"/>
      <c r="E57" s="528"/>
      <c r="F57" s="3878"/>
      <c r="G57" s="528"/>
      <c r="R57" s="1803">
        <v>57</v>
      </c>
    </row>
    <row r="58" spans="1:18" s="527" customFormat="1" ht="3.75" customHeight="1">
      <c r="A58" s="526"/>
      <c r="B58" s="526"/>
      <c r="C58" s="526"/>
      <c r="D58" s="526"/>
      <c r="E58" s="526"/>
      <c r="F58" s="3878"/>
      <c r="G58" s="530"/>
      <c r="R58" s="1803">
        <v>58</v>
      </c>
    </row>
    <row r="59" spans="1:18" s="527" customFormat="1" ht="41.25" customHeight="1">
      <c r="A59" s="3883" t="str">
        <f>'Part III-A-Uses of Funds'!$C$113</f>
        <v>&lt;&lt; Enter description here; provide detail &amp; justification in tab Part III-b &gt;&gt;</v>
      </c>
      <c r="B59" s="3884"/>
      <c r="C59" s="3884"/>
      <c r="D59" s="3885"/>
      <c r="F59" s="3878"/>
      <c r="G59" s="528"/>
      <c r="R59" s="1803">
        <v>59</v>
      </c>
    </row>
    <row r="60" spans="1:18" s="527" customFormat="1" ht="41.25" customHeight="1">
      <c r="A60" s="3874"/>
      <c r="B60" s="3875"/>
      <c r="C60" s="3875"/>
      <c r="D60" s="3876"/>
      <c r="E60" s="528"/>
      <c r="F60" s="3878"/>
      <c r="G60" s="528"/>
      <c r="R60" s="1803">
        <v>60</v>
      </c>
    </row>
    <row r="61" spans="1:18" s="527" customFormat="1" ht="3" customHeight="1">
      <c r="A61" s="528"/>
      <c r="B61" s="528"/>
      <c r="C61" s="528"/>
      <c r="D61" s="528"/>
      <c r="E61" s="528"/>
      <c r="F61" s="3878"/>
      <c r="G61" s="528"/>
      <c r="R61" s="1804">
        <v>61</v>
      </c>
    </row>
    <row r="62" spans="1:18" s="527" customFormat="1" ht="25.5">
      <c r="A62" s="537" t="s">
        <v>753</v>
      </c>
      <c r="B62" s="536">
        <f>'Part III-A-Uses of Funds'!$G$113</f>
        <v>0</v>
      </c>
      <c r="C62" s="531"/>
      <c r="D62" s="531"/>
      <c r="E62" s="528"/>
      <c r="F62" s="3878"/>
      <c r="G62" s="528"/>
      <c r="R62" s="1804">
        <v>62</v>
      </c>
    </row>
    <row r="63" spans="1:18" s="527" customFormat="1" ht="3.75" customHeight="1">
      <c r="A63" s="526"/>
      <c r="B63" s="526"/>
      <c r="C63" s="526"/>
      <c r="D63" s="526"/>
      <c r="E63" s="526"/>
      <c r="F63" s="3879"/>
      <c r="G63" s="530"/>
      <c r="R63" s="1804">
        <v>63</v>
      </c>
    </row>
    <row r="64" spans="1:18" s="527" customFormat="1" ht="15.75">
      <c r="A64" s="538" t="s">
        <v>756</v>
      </c>
      <c r="B64" s="528"/>
      <c r="C64" s="528"/>
      <c r="D64" s="528"/>
      <c r="E64" s="528"/>
      <c r="F64" s="528"/>
      <c r="G64" s="528"/>
      <c r="R64" s="1803">
        <v>64</v>
      </c>
    </row>
    <row r="65" spans="1:18" s="527" customFormat="1" ht="41.25" customHeight="1">
      <c r="A65" s="3883" t="str">
        <f>'Part III-A-Uses of Funds'!$C$119</f>
        <v>&lt;&lt; Enter description here; provide detail &amp; justification in tab Part III-b &gt;&gt;</v>
      </c>
      <c r="B65" s="3884"/>
      <c r="C65" s="3884"/>
      <c r="D65" s="3885"/>
      <c r="F65" s="3880"/>
      <c r="G65" s="528"/>
      <c r="R65" s="1803">
        <v>65</v>
      </c>
    </row>
    <row r="66" spans="1:18" s="527" customFormat="1" ht="41.25" customHeight="1">
      <c r="A66" s="3874"/>
      <c r="B66" s="3875"/>
      <c r="C66" s="3875"/>
      <c r="D66" s="3876"/>
      <c r="E66" s="528"/>
      <c r="F66" s="3881"/>
      <c r="G66" s="528"/>
      <c r="R66" s="1803">
        <v>66</v>
      </c>
    </row>
    <row r="67" spans="1:18" s="527" customFormat="1" ht="3" customHeight="1">
      <c r="A67" s="528"/>
      <c r="B67" s="528"/>
      <c r="C67" s="528"/>
      <c r="D67" s="528"/>
      <c r="E67" s="528"/>
      <c r="F67" s="3881"/>
      <c r="G67" s="528"/>
      <c r="R67" s="1803">
        <v>67</v>
      </c>
    </row>
    <row r="68" spans="1:18" s="527" customFormat="1" ht="25.5">
      <c r="A68" s="537" t="s">
        <v>753</v>
      </c>
      <c r="B68" s="536">
        <f>'Part III-A-Uses of Funds'!$G$119</f>
        <v>0</v>
      </c>
      <c r="C68" s="531"/>
      <c r="D68" s="531"/>
      <c r="E68" s="528"/>
      <c r="F68" s="3881"/>
      <c r="G68" s="528"/>
      <c r="R68" s="1803">
        <v>68</v>
      </c>
    </row>
    <row r="69" spans="1:18" s="527" customFormat="1" ht="3.75" customHeight="1">
      <c r="A69" s="528"/>
      <c r="B69" s="529"/>
      <c r="C69" s="528"/>
      <c r="D69" s="528"/>
      <c r="E69" s="528"/>
      <c r="F69" s="3882"/>
      <c r="G69" s="530"/>
      <c r="R69" s="1803">
        <v>69</v>
      </c>
    </row>
    <row r="70" spans="1:18" s="527" customFormat="1" ht="15.75">
      <c r="A70" s="538" t="s">
        <v>680</v>
      </c>
      <c r="B70" s="528"/>
      <c r="C70" s="528"/>
      <c r="D70" s="528"/>
      <c r="E70" s="528"/>
      <c r="F70" s="528"/>
      <c r="G70" s="528"/>
      <c r="R70" s="1804">
        <v>70</v>
      </c>
    </row>
    <row r="71" spans="1:18" s="527" customFormat="1" ht="41.25" customHeight="1">
      <c r="A71" s="3883" t="str">
        <f>'Part III-A-Uses of Funds'!$C$135</f>
        <v>&lt;&lt; Enter description here; provide detail &amp; justification in tab Part III-b &gt;&gt;</v>
      </c>
      <c r="B71" s="3884"/>
      <c r="C71" s="3884"/>
      <c r="D71" s="3885"/>
      <c r="F71" s="3880"/>
      <c r="G71" s="528"/>
      <c r="H71" s="3880"/>
      <c r="R71" s="1804">
        <v>71</v>
      </c>
    </row>
    <row r="72" spans="1:18" s="527" customFormat="1" ht="41.25" customHeight="1">
      <c r="A72" s="3874"/>
      <c r="B72" s="3875"/>
      <c r="C72" s="3875"/>
      <c r="D72" s="3876"/>
      <c r="E72" s="528"/>
      <c r="F72" s="3881"/>
      <c r="G72" s="528"/>
      <c r="H72" s="3881"/>
      <c r="R72" s="1804">
        <v>72</v>
      </c>
    </row>
    <row r="73" spans="1:18" s="527" customFormat="1" ht="4.5" customHeight="1">
      <c r="A73" s="528"/>
      <c r="B73" s="528"/>
      <c r="C73" s="528"/>
      <c r="D73" s="528"/>
      <c r="E73" s="528"/>
      <c r="F73" s="3881"/>
      <c r="G73" s="528"/>
      <c r="H73" s="3881"/>
      <c r="R73" s="1803">
        <v>73</v>
      </c>
    </row>
    <row r="74" spans="1:18" s="527" customFormat="1" ht="12.75" customHeight="1">
      <c r="A74" s="537" t="s">
        <v>753</v>
      </c>
      <c r="B74" s="536">
        <f>'Part III-A-Uses of Funds'!$G$135</f>
        <v>0</v>
      </c>
      <c r="C74" s="537" t="s">
        <v>713</v>
      </c>
      <c r="D74" s="536">
        <f>'Part III-A-Uses of Funds'!$J$135+'Part III-A-Uses of Funds'!$M$135+'Part III-A-Uses of Funds'!$P$135</f>
        <v>0</v>
      </c>
      <c r="E74" s="528"/>
      <c r="F74" s="3881"/>
      <c r="G74" s="528"/>
      <c r="H74" s="3881"/>
      <c r="R74" s="1803">
        <v>74</v>
      </c>
    </row>
    <row r="75" spans="1:18" s="527" customFormat="1" ht="6" customHeight="1">
      <c r="A75" s="528"/>
      <c r="B75" s="529"/>
      <c r="C75" s="528"/>
      <c r="D75" s="528"/>
      <c r="E75" s="528"/>
      <c r="F75" s="3882"/>
      <c r="G75" s="530"/>
      <c r="H75" s="3882"/>
      <c r="R75" s="1803">
        <v>75</v>
      </c>
    </row>
    <row r="76" spans="1:18" s="527" customFormat="1" ht="15.75">
      <c r="A76" s="538" t="s">
        <v>757</v>
      </c>
      <c r="B76" s="529"/>
      <c r="C76" s="528"/>
      <c r="D76" s="528"/>
      <c r="E76" s="528"/>
      <c r="F76" s="528"/>
      <c r="G76" s="530"/>
      <c r="R76" s="1803">
        <v>76</v>
      </c>
    </row>
    <row r="77" spans="1:18" s="527" customFormat="1" ht="41.25" customHeight="1">
      <c r="A77" s="3883" t="str">
        <f>'Part III-A-Uses of Funds'!$C$144</f>
        <v>&lt;&lt; Enter description here; provide detail &amp; justification in tab Part III-b &gt;&gt;</v>
      </c>
      <c r="B77" s="3884"/>
      <c r="C77" s="3884"/>
      <c r="D77" s="3885"/>
      <c r="F77" s="3880"/>
      <c r="G77" s="528"/>
      <c r="H77" s="3880"/>
      <c r="R77" s="1803">
        <v>77</v>
      </c>
    </row>
    <row r="78" spans="1:18" s="527" customFormat="1" ht="41.25" customHeight="1">
      <c r="A78" s="3874"/>
      <c r="B78" s="3875"/>
      <c r="C78" s="3875"/>
      <c r="D78" s="3876"/>
      <c r="E78" s="528"/>
      <c r="F78" s="3881"/>
      <c r="G78" s="528"/>
      <c r="H78" s="3881"/>
      <c r="R78" s="1803">
        <v>78</v>
      </c>
    </row>
    <row r="79" spans="1:18" s="527" customFormat="1" ht="4.5" customHeight="1">
      <c r="A79" s="528"/>
      <c r="B79" s="528"/>
      <c r="C79" s="528"/>
      <c r="D79" s="528"/>
      <c r="E79" s="528"/>
      <c r="F79" s="3881"/>
      <c r="G79" s="528"/>
      <c r="H79" s="3881"/>
      <c r="R79" s="1804">
        <v>79</v>
      </c>
    </row>
    <row r="80" spans="1:18" s="527" customFormat="1" ht="12.75" customHeight="1">
      <c r="A80" s="537" t="s">
        <v>753</v>
      </c>
      <c r="B80" s="536">
        <f>'Part III-A-Uses of Funds'!$G$144</f>
        <v>0</v>
      </c>
      <c r="C80" s="537" t="s">
        <v>713</v>
      </c>
      <c r="D80" s="536">
        <f>'Part III-A-Uses of Funds'!$J$144+'Part III-A-Uses of Funds'!$M$144+'Part III-A-Uses of Funds'!$P$144</f>
        <v>0</v>
      </c>
      <c r="E80" s="533"/>
      <c r="F80" s="3881"/>
      <c r="G80" s="528"/>
      <c r="H80" s="3881"/>
      <c r="R80" s="1804">
        <v>80</v>
      </c>
    </row>
    <row r="81" spans="4:18" s="527" customFormat="1" ht="6" customHeight="1">
      <c r="D81" s="534"/>
      <c r="E81" s="535"/>
      <c r="F81" s="3882"/>
      <c r="G81" s="530"/>
      <c r="H81" s="3882"/>
      <c r="R81" s="1804">
        <v>81</v>
      </c>
    </row>
    <row r="82" spans="4:18" s="527" customFormat="1" ht="15.75">
      <c r="R82" s="1805"/>
    </row>
    <row r="83" spans="4:18" s="527" customFormat="1" ht="15.75">
      <c r="R83" s="1805"/>
    </row>
    <row r="84" spans="4:18" s="527" customFormat="1" ht="15.75">
      <c r="R84" s="1806"/>
    </row>
    <row r="85" spans="4:18" s="527" customFormat="1" ht="15.75">
      <c r="R85" s="1806"/>
    </row>
    <row r="86" spans="4:18" s="527" customFormat="1" ht="15.75">
      <c r="R86" s="1806"/>
    </row>
    <row r="87" spans="4:18" s="527" customFormat="1" ht="15.75">
      <c r="R87" s="1806"/>
    </row>
    <row r="88" spans="4:18" s="527" customFormat="1" ht="15.75">
      <c r="R88" s="1806"/>
    </row>
    <row r="89" spans="4:18" s="527" customFormat="1" ht="15.75">
      <c r="R89" s="1806"/>
    </row>
    <row r="90" spans="4:18" s="527" customFormat="1" ht="15.75">
      <c r="R90" s="1806"/>
    </row>
    <row r="91" spans="4:18" s="527" customFormat="1" ht="15.75">
      <c r="R91" s="1806"/>
    </row>
    <row r="92" spans="4:18" s="527" customFormat="1" ht="15.75">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 ref="A36:D37"/>
    <mergeCell ref="F36:F40"/>
    <mergeCell ref="H36:H40"/>
    <mergeCell ref="A42:D43"/>
    <mergeCell ref="F42:F46"/>
    <mergeCell ref="H42:H46"/>
    <mergeCell ref="A25:D26"/>
    <mergeCell ref="F25:F29"/>
    <mergeCell ref="H25:H29"/>
    <mergeCell ref="A31:D32"/>
    <mergeCell ref="F31:F35"/>
    <mergeCell ref="H31:H35"/>
    <mergeCell ref="A14:D15"/>
    <mergeCell ref="F14:F18"/>
    <mergeCell ref="H14:H18"/>
    <mergeCell ref="A19:D20"/>
    <mergeCell ref="F19:F23"/>
    <mergeCell ref="H19:H23"/>
    <mergeCell ref="A1:H1"/>
    <mergeCell ref="A3:H3"/>
    <mergeCell ref="A5:D5"/>
    <mergeCell ref="A9:D10"/>
    <mergeCell ref="F9:F13"/>
    <mergeCell ref="H9:H13"/>
  </mergeCells>
  <printOptions horizontalCentered="1"/>
  <pageMargins left="0.25" right="0.25" top="0.65" bottom="0.5" header="0.25" footer="0.25"/>
  <pageSetup scale="99"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topLeftCell="A5" workbookViewId="0">
      <selection activeCell="F23" sqref="F23"/>
    </sheetView>
  </sheetViews>
  <sheetFormatPr defaultColWidth="8.85546875" defaultRowHeight="12.75"/>
  <cols>
    <col min="1" max="1" width="2.140625" customWidth="1"/>
    <col min="3" max="3" width="12.42578125" customWidth="1"/>
    <col min="4" max="4" width="12.85546875" customWidth="1"/>
    <col min="5" max="5" width="9.42578125" customWidth="1"/>
    <col min="6" max="7" width="9.85546875" customWidth="1"/>
    <col min="8" max="8" width="8.140625" customWidth="1"/>
    <col min="9" max="13" width="10.85546875" customWidth="1"/>
    <col min="14" max="14" width="3" customWidth="1"/>
    <col min="27" max="27" width="8.85546875" style="1744"/>
  </cols>
  <sheetData>
    <row r="1" spans="1:27" s="4" customFormat="1" ht="14.1" customHeight="1">
      <c r="A1" s="3887" t="str">
        <f>CONCATENATE("PART FOUR - UTILITY ALLOWANCES","  -  ",'Part I-Project Identification'!$O$7," ",'Part I-Project Identification'!$F$27,", ",'Part I-Project Identification'!F28,", ",'Part I-Project Identification'!J28," County")</f>
        <v>PART FOUR - UTILITY ALLOWANCES  -  2026-0xx Westchester Village II, Jonesboro, Clayton County</v>
      </c>
      <c r="B1" s="3888"/>
      <c r="C1" s="3888"/>
      <c r="D1" s="3888"/>
      <c r="E1" s="3888"/>
      <c r="F1" s="3888"/>
      <c r="G1" s="3888"/>
      <c r="H1" s="3888"/>
      <c r="I1" s="3888"/>
      <c r="J1" s="3888"/>
      <c r="K1" s="3888"/>
      <c r="L1" s="3888"/>
      <c r="M1" s="3888"/>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889" t="str">
        <f>'Part I-Project Identification'!$A$6</f>
        <v>May XX, 2026</v>
      </c>
      <c r="C3" s="3889"/>
      <c r="D3" s="3889"/>
      <c r="E3" s="3889"/>
      <c r="F3" s="3" t="s">
        <v>758</v>
      </c>
      <c r="G3" s="77"/>
      <c r="H3" s="77"/>
      <c r="I3" s="3890" t="s">
        <v>4924</v>
      </c>
      <c r="J3" s="3891"/>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c r="A5" s="129" t="s">
        <v>759</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21</v>
      </c>
      <c r="B7" s="6" t="s">
        <v>760</v>
      </c>
      <c r="C7" s="77"/>
      <c r="D7" s="77"/>
      <c r="E7" s="77"/>
      <c r="F7" s="43" t="s">
        <v>761</v>
      </c>
      <c r="G7" s="43"/>
      <c r="H7" s="43"/>
      <c r="I7" s="3892" t="s">
        <v>7674</v>
      </c>
      <c r="J7" s="3893"/>
      <c r="K7" s="3893"/>
      <c r="L7" s="3893"/>
      <c r="M7" s="3894"/>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762</v>
      </c>
      <c r="G8" s="43"/>
      <c r="H8" s="11"/>
      <c r="I8" s="3895" t="s">
        <v>7675</v>
      </c>
      <c r="J8" s="3896"/>
      <c r="K8" s="32" t="s">
        <v>763</v>
      </c>
      <c r="L8" s="3897" t="s">
        <v>7673</v>
      </c>
      <c r="M8" s="3898"/>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901" t="s">
        <v>764</v>
      </c>
      <c r="G10" s="3901"/>
      <c r="I10" s="3901" t="s">
        <v>765</v>
      </c>
      <c r="J10" s="3901"/>
      <c r="K10" s="3901"/>
      <c r="L10" s="3901"/>
      <c r="M10" s="3901"/>
      <c r="O10" s="604"/>
      <c r="P10" s="604"/>
      <c r="Q10" s="604"/>
      <c r="R10" s="604"/>
      <c r="S10" s="604"/>
      <c r="T10" s="604"/>
      <c r="U10" s="604"/>
      <c r="AA10" s="1798">
        <v>10</v>
      </c>
    </row>
    <row r="11" spans="1:27" s="6" customFormat="1" ht="13.5" customHeight="1">
      <c r="B11" s="6" t="s">
        <v>766</v>
      </c>
      <c r="D11" s="6" t="s">
        <v>767</v>
      </c>
      <c r="F11" s="9" t="s">
        <v>768</v>
      </c>
      <c r="G11" s="9" t="s">
        <v>769</v>
      </c>
      <c r="I11" s="127" t="s">
        <v>770</v>
      </c>
      <c r="J11" s="127">
        <v>1</v>
      </c>
      <c r="K11" s="127">
        <v>2</v>
      </c>
      <c r="L11" s="127">
        <v>3</v>
      </c>
      <c r="M11" s="127">
        <v>4</v>
      </c>
      <c r="O11" s="604"/>
      <c r="P11" s="604"/>
      <c r="Q11" s="604"/>
      <c r="R11" s="604"/>
      <c r="S11" s="604"/>
      <c r="T11" s="604"/>
      <c r="U11" s="604"/>
      <c r="AA11" s="1798">
        <v>11</v>
      </c>
    </row>
    <row r="12" spans="1:27" s="4" customFormat="1" ht="12" customHeight="1">
      <c r="A12" s="77"/>
      <c r="B12" s="2697" t="s">
        <v>771</v>
      </c>
      <c r="C12" s="2698"/>
      <c r="D12" s="3899" t="s">
        <v>7676</v>
      </c>
      <c r="E12" s="3900"/>
      <c r="F12" s="2699" t="s">
        <v>1744</v>
      </c>
      <c r="G12" s="2699"/>
      <c r="H12" s="2700"/>
      <c r="I12" s="2701"/>
      <c r="J12" s="2701">
        <v>50</v>
      </c>
      <c r="K12" s="2701">
        <v>58</v>
      </c>
      <c r="L12" s="2701"/>
      <c r="M12" s="2701"/>
      <c r="N12" s="77"/>
      <c r="O12" s="604"/>
      <c r="P12" s="604"/>
      <c r="Q12" s="604"/>
      <c r="R12" s="604"/>
      <c r="S12" s="604"/>
      <c r="T12" s="604"/>
      <c r="U12" s="604"/>
      <c r="V12" s="77"/>
      <c r="W12" s="77"/>
      <c r="X12" s="77"/>
      <c r="Y12" s="77"/>
      <c r="Z12" s="77"/>
      <c r="AA12" s="1798">
        <v>12</v>
      </c>
    </row>
    <row r="13" spans="1:27" s="4" customFormat="1" ht="12" customHeight="1">
      <c r="A13" s="77"/>
      <c r="B13" s="871" t="s">
        <v>772</v>
      </c>
      <c r="C13" s="2344"/>
      <c r="D13" s="3902" t="s">
        <v>776</v>
      </c>
      <c r="E13" s="3903"/>
      <c r="F13" s="130" t="s">
        <v>1744</v>
      </c>
      <c r="G13" s="130"/>
      <c r="H13" s="2345"/>
      <c r="I13" s="869"/>
      <c r="J13" s="869">
        <v>12</v>
      </c>
      <c r="K13" s="869">
        <v>14</v>
      </c>
      <c r="L13" s="2346"/>
      <c r="M13" s="2346"/>
      <c r="N13" s="77"/>
      <c r="O13" s="3886" t="s">
        <v>773</v>
      </c>
      <c r="P13" s="3886"/>
      <c r="Q13" s="3886"/>
      <c r="R13" s="3886"/>
      <c r="S13" s="3886"/>
      <c r="T13" s="77"/>
      <c r="U13" s="77"/>
      <c r="V13" s="77"/>
      <c r="W13" s="77"/>
      <c r="X13" s="77"/>
      <c r="Y13" s="77"/>
      <c r="Z13" s="77"/>
      <c r="AA13" s="1798">
        <v>13</v>
      </c>
    </row>
    <row r="14" spans="1:27" s="4" customFormat="1" ht="12" customHeight="1">
      <c r="A14" s="77"/>
      <c r="B14" s="872" t="s">
        <v>774</v>
      </c>
      <c r="C14" s="2347"/>
      <c r="D14" s="3902" t="s">
        <v>776</v>
      </c>
      <c r="E14" s="3903"/>
      <c r="F14" s="130" t="s">
        <v>1744</v>
      </c>
      <c r="G14" s="130"/>
      <c r="H14" s="2348"/>
      <c r="I14" s="869"/>
      <c r="J14" s="869">
        <v>19</v>
      </c>
      <c r="K14" s="869">
        <v>27</v>
      </c>
      <c r="L14" s="2346"/>
      <c r="M14" s="2346"/>
      <c r="N14" s="77"/>
      <c r="O14" s="3886"/>
      <c r="P14" s="3886"/>
      <c r="Q14" s="3886"/>
      <c r="R14" s="3886"/>
      <c r="S14" s="3886"/>
      <c r="T14" s="77"/>
      <c r="U14" s="77"/>
      <c r="V14" s="77"/>
      <c r="W14" s="77"/>
      <c r="X14" s="77"/>
      <c r="Y14" s="77"/>
      <c r="Z14" s="77"/>
      <c r="AA14" s="1798">
        <v>14</v>
      </c>
    </row>
    <row r="15" spans="1:27" s="4" customFormat="1" ht="12" customHeight="1">
      <c r="A15" s="77"/>
      <c r="B15" s="873" t="s">
        <v>775</v>
      </c>
      <c r="C15" s="2349"/>
      <c r="D15" s="873" t="s">
        <v>776</v>
      </c>
      <c r="E15" s="2350"/>
      <c r="F15" s="130" t="s">
        <v>1744</v>
      </c>
      <c r="G15" s="130"/>
      <c r="H15" s="2351"/>
      <c r="I15" s="869"/>
      <c r="J15" s="869">
        <v>18</v>
      </c>
      <c r="K15" s="869">
        <v>21</v>
      </c>
      <c r="L15" s="2346"/>
      <c r="M15" s="2346"/>
      <c r="N15" s="77"/>
      <c r="O15" s="3886"/>
      <c r="P15" s="3886"/>
      <c r="Q15" s="3886"/>
      <c r="R15" s="3886"/>
      <c r="S15" s="3886"/>
      <c r="T15" s="77"/>
      <c r="U15" s="77"/>
      <c r="V15" s="77"/>
      <c r="W15" s="77"/>
      <c r="X15" s="77"/>
      <c r="Y15" s="77"/>
      <c r="Z15" s="77"/>
      <c r="AA15" s="1798">
        <v>15</v>
      </c>
    </row>
    <row r="16" spans="1:27" s="4" customFormat="1" ht="12" customHeight="1">
      <c r="A16" s="77"/>
      <c r="B16" s="874" t="s">
        <v>777</v>
      </c>
      <c r="C16" s="2344"/>
      <c r="D16" s="871" t="s">
        <v>776</v>
      </c>
      <c r="E16" s="2352"/>
      <c r="F16" s="130"/>
      <c r="G16" s="130" t="s">
        <v>1744</v>
      </c>
      <c r="H16" s="2345"/>
      <c r="I16" s="869"/>
      <c r="J16" s="869"/>
      <c r="K16" s="869"/>
      <c r="L16" s="2346"/>
      <c r="M16" s="2346"/>
      <c r="N16" s="77"/>
      <c r="O16" s="3886"/>
      <c r="P16" s="3886"/>
      <c r="Q16" s="3886"/>
      <c r="R16" s="3886"/>
      <c r="S16" s="3886"/>
      <c r="T16" s="77"/>
      <c r="U16" s="77"/>
      <c r="V16" s="77"/>
      <c r="W16" s="77"/>
      <c r="X16" s="77"/>
      <c r="Y16" s="77"/>
      <c r="Z16" s="77"/>
      <c r="AA16" s="1798">
        <v>16</v>
      </c>
    </row>
    <row r="17" spans="1:27" s="4" customFormat="1" ht="12" customHeight="1">
      <c r="A17" s="77"/>
      <c r="B17" s="874" t="s">
        <v>778</v>
      </c>
      <c r="C17" s="2344"/>
      <c r="D17" s="871" t="s">
        <v>776</v>
      </c>
      <c r="E17" s="2352"/>
      <c r="F17" s="130"/>
      <c r="G17" s="130" t="s">
        <v>1744</v>
      </c>
      <c r="H17" s="2345"/>
      <c r="I17" s="869"/>
      <c r="J17" s="869"/>
      <c r="K17" s="869"/>
      <c r="L17" s="2346"/>
      <c r="M17" s="2346"/>
      <c r="N17" s="77"/>
      <c r="O17" s="3886"/>
      <c r="P17" s="3886"/>
      <c r="Q17" s="3886"/>
      <c r="R17" s="3886"/>
      <c r="S17" s="3886"/>
      <c r="T17" s="77"/>
      <c r="U17" s="77"/>
      <c r="V17" s="77"/>
      <c r="W17" s="77"/>
      <c r="X17" s="77"/>
      <c r="Y17" s="77"/>
      <c r="Z17" s="77"/>
      <c r="AA17" s="1798">
        <v>17</v>
      </c>
    </row>
    <row r="18" spans="1:27" s="4" customFormat="1" ht="12" customHeight="1">
      <c r="A18" s="77"/>
      <c r="B18" s="875" t="s">
        <v>779</v>
      </c>
      <c r="C18" s="2347"/>
      <c r="D18" s="872" t="s">
        <v>776</v>
      </c>
      <c r="E18" s="2353"/>
      <c r="F18" s="130" t="s">
        <v>1744</v>
      </c>
      <c r="G18" s="130"/>
      <c r="H18" s="2348"/>
      <c r="I18" s="869"/>
      <c r="J18" s="869">
        <v>44</v>
      </c>
      <c r="K18" s="869">
        <v>58</v>
      </c>
      <c r="L18" s="2346"/>
      <c r="M18" s="2346"/>
      <c r="N18" s="77"/>
      <c r="O18" s="3886"/>
      <c r="P18" s="3886"/>
      <c r="Q18" s="3886"/>
      <c r="R18" s="3886"/>
      <c r="S18" s="3886"/>
      <c r="T18" s="77"/>
      <c r="U18" s="77"/>
      <c r="V18" s="77"/>
      <c r="W18" s="77"/>
      <c r="X18" s="77"/>
      <c r="Y18" s="77"/>
      <c r="Z18" s="77"/>
      <c r="AA18" s="1798">
        <v>18</v>
      </c>
    </row>
    <row r="19" spans="1:27" s="4" customFormat="1" ht="12" customHeight="1">
      <c r="A19" s="77"/>
      <c r="B19" s="873" t="s">
        <v>780</v>
      </c>
      <c r="C19" s="2349"/>
      <c r="D19" s="877" t="s">
        <v>781</v>
      </c>
      <c r="E19" s="2702" t="s">
        <v>7444</v>
      </c>
      <c r="F19" s="130" t="s">
        <v>1744</v>
      </c>
      <c r="G19" s="130"/>
      <c r="H19" s="2351"/>
      <c r="I19" s="869"/>
      <c r="J19" s="869">
        <v>45</v>
      </c>
      <c r="K19" s="869">
        <v>56</v>
      </c>
      <c r="L19" s="2346"/>
      <c r="M19" s="2346"/>
      <c r="N19" s="77"/>
      <c r="O19" s="3886"/>
      <c r="P19" s="3886"/>
      <c r="Q19" s="3886"/>
      <c r="R19" s="3886"/>
      <c r="S19" s="3886"/>
      <c r="T19" s="77"/>
      <c r="U19" s="77"/>
      <c r="V19" s="77"/>
      <c r="W19" s="77"/>
      <c r="X19" s="77"/>
      <c r="Y19" s="77"/>
      <c r="Z19" s="77"/>
      <c r="AA19" s="1798">
        <v>19</v>
      </c>
    </row>
    <row r="20" spans="1:27" s="4" customFormat="1" ht="12" customHeight="1">
      <c r="A20" s="77"/>
      <c r="B20" s="876" t="s">
        <v>782</v>
      </c>
      <c r="C20" s="2354"/>
      <c r="D20" s="128"/>
      <c r="E20" s="2355"/>
      <c r="F20" s="130"/>
      <c r="G20" s="130" t="s">
        <v>1744</v>
      </c>
      <c r="H20" s="2348"/>
      <c r="I20" s="869"/>
      <c r="J20" s="869"/>
      <c r="K20" s="869"/>
      <c r="L20" s="2346"/>
      <c r="M20" s="2346"/>
      <c r="N20" s="77"/>
      <c r="O20" s="3886"/>
      <c r="P20" s="3886"/>
      <c r="Q20" s="3886"/>
      <c r="R20" s="3886"/>
      <c r="S20" s="3886"/>
      <c r="T20" s="77"/>
      <c r="U20" s="77"/>
      <c r="V20" s="77"/>
      <c r="W20" s="77"/>
      <c r="X20" s="77"/>
      <c r="Y20" s="77"/>
      <c r="Z20" s="77"/>
      <c r="AA20" s="1798">
        <v>20</v>
      </c>
    </row>
    <row r="21" spans="1:27">
      <c r="B21" s="1783" t="s">
        <v>783</v>
      </c>
      <c r="C21" s="126"/>
      <c r="D21" s="126"/>
      <c r="E21" s="126"/>
      <c r="O21" s="3886"/>
      <c r="P21" s="3886"/>
      <c r="Q21" s="3886"/>
      <c r="R21" s="3886"/>
      <c r="S21" s="3886"/>
      <c r="AA21" s="1798">
        <v>21</v>
      </c>
    </row>
    <row r="22" spans="1:27" s="4" customFormat="1" ht="12" customHeight="1">
      <c r="A22" s="77"/>
      <c r="B22" s="1781" t="s">
        <v>784</v>
      </c>
      <c r="C22" s="2344"/>
      <c r="D22" s="871" t="s">
        <v>785</v>
      </c>
      <c r="E22" s="2352"/>
      <c r="F22" s="130"/>
      <c r="G22" s="130"/>
      <c r="H22" s="2351"/>
      <c r="I22" s="869"/>
      <c r="J22" s="869"/>
      <c r="K22" s="869"/>
      <c r="L22" s="2346"/>
      <c r="M22" s="2346"/>
      <c r="N22" s="77"/>
      <c r="O22" s="3886"/>
      <c r="P22" s="3886"/>
      <c r="Q22" s="3886"/>
      <c r="R22" s="3886"/>
      <c r="S22" s="3886"/>
      <c r="T22" s="77"/>
      <c r="U22" s="77"/>
      <c r="V22" s="77"/>
      <c r="W22" s="77"/>
      <c r="X22" s="77"/>
      <c r="Y22" s="77"/>
      <c r="Z22" s="77"/>
      <c r="AA22" s="1798">
        <v>22</v>
      </c>
    </row>
    <row r="23" spans="1:27" s="4" customFormat="1" ht="12" customHeight="1">
      <c r="A23" s="77"/>
      <c r="B23" s="1785" t="s">
        <v>786</v>
      </c>
      <c r="C23" s="2347"/>
      <c r="D23" s="872" t="s">
        <v>776</v>
      </c>
      <c r="E23" s="2352"/>
      <c r="F23" s="130" t="s">
        <v>1744</v>
      </c>
      <c r="G23" s="130"/>
      <c r="H23" s="2348"/>
      <c r="I23" s="869"/>
      <c r="J23" s="869">
        <v>14</v>
      </c>
      <c r="K23" s="869">
        <v>14</v>
      </c>
      <c r="L23" s="2346"/>
      <c r="M23" s="2346"/>
      <c r="N23" s="77"/>
      <c r="O23" s="3886"/>
      <c r="P23" s="3886"/>
      <c r="Q23" s="3886"/>
      <c r="R23" s="3886"/>
      <c r="S23" s="3886"/>
      <c r="T23" s="77"/>
      <c r="U23" s="77"/>
      <c r="V23" s="77"/>
      <c r="W23" s="77"/>
      <c r="X23" s="77"/>
      <c r="Y23" s="77"/>
      <c r="Z23" s="77"/>
      <c r="AA23" s="1798">
        <v>23</v>
      </c>
    </row>
    <row r="24" spans="1:27" s="4" customFormat="1" ht="12" customHeight="1">
      <c r="A24" s="77"/>
      <c r="B24" s="876" t="s">
        <v>435</v>
      </c>
      <c r="C24" s="3904" t="s">
        <v>7677</v>
      </c>
      <c r="D24" s="3905"/>
      <c r="E24" s="3906"/>
      <c r="F24" s="131" t="s">
        <v>1744</v>
      </c>
      <c r="G24" s="131"/>
      <c r="H24" s="2356"/>
      <c r="I24" s="870"/>
      <c r="J24" s="870">
        <v>-24</v>
      </c>
      <c r="K24" s="870">
        <v>-24</v>
      </c>
      <c r="L24" s="2357"/>
      <c r="M24" s="2357"/>
      <c r="N24" s="77"/>
      <c r="O24" s="3886"/>
      <c r="P24" s="3886"/>
      <c r="Q24" s="3886"/>
      <c r="R24" s="3886"/>
      <c r="S24" s="3886"/>
      <c r="T24" s="77"/>
      <c r="U24" s="77"/>
      <c r="V24" s="77"/>
      <c r="W24" s="77"/>
      <c r="X24" s="77"/>
      <c r="Y24" s="77"/>
      <c r="Z24" s="77"/>
      <c r="AA24" s="1798">
        <v>24</v>
      </c>
    </row>
    <row r="25" spans="1:27" s="4" customFormat="1">
      <c r="A25" s="77"/>
      <c r="B25" s="6" t="s">
        <v>787</v>
      </c>
      <c r="C25" s="77"/>
      <c r="D25"/>
      <c r="E25"/>
      <c r="F25" s="34"/>
      <c r="G25" s="34"/>
      <c r="H25" s="77"/>
      <c r="I25" s="2542">
        <f>IF(SUM(I12:I24)=0,0,IF(OR($D12="&lt;&lt;Select Fuel &gt;&gt;",$D13="&lt;&lt;Select Fuel &gt;&gt;",$D14="&lt;&lt;Select Fuel &gt;&gt;"),"Select Fuel",IF($E19="&lt;Select&gt;","Submeter?",SUM(I12:I24))))</f>
        <v>0</v>
      </c>
      <c r="J25" s="2542">
        <f>IF(SUM(J12:J24)=0,0,IF(OR($D12="&lt;&lt;Select Fuel &gt;&gt;",$D13="&lt;&lt;Select Fuel &gt;&gt;",$D14="&lt;&lt;Select Fuel &gt;&gt;"),"Select Fuel",IF($E19="&lt;Select&gt;","Submeter?",SUM(J12:J24))))</f>
        <v>178</v>
      </c>
      <c r="K25" s="2542">
        <f>IF(SUM(K12:K24)=0,0,IF(OR($D12="&lt;&lt;Select Fuel &gt;&gt;",$D13="&lt;&lt;Select Fuel &gt;&gt;",$D14="&lt;&lt;Select Fuel &gt;&gt;"),"Select Fuel",IF($E19="&lt;Select&gt;","Submeter?",SUM(K12:K24))))</f>
        <v>224</v>
      </c>
      <c r="L25" s="2542">
        <f>IF(SUM(L12:L24)=0,0,IF(OR($D12="&lt;&lt;Select Fuel &gt;&gt;",$D13="&lt;&lt;Select Fuel &gt;&gt;",$D14="&lt;&lt;Select Fuel &gt;&gt;"),"Select Fuel",IF($E19="&lt;Select&gt;","Submeter?",SUM(L12:L24))))</f>
        <v>0</v>
      </c>
      <c r="M25" s="2542">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25</v>
      </c>
      <c r="B27" s="6" t="s">
        <v>788</v>
      </c>
      <c r="C27" s="77"/>
      <c r="D27" s="77"/>
      <c r="E27" s="77"/>
      <c r="F27" s="43" t="s">
        <v>761</v>
      </c>
      <c r="G27" s="43"/>
      <c r="H27" s="43"/>
      <c r="I27" s="3892"/>
      <c r="J27" s="3893"/>
      <c r="K27" s="3893"/>
      <c r="L27" s="3893"/>
      <c r="M27" s="3894"/>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762</v>
      </c>
      <c r="G28" s="43"/>
      <c r="H28" s="11"/>
      <c r="I28" s="3895"/>
      <c r="J28" s="3896"/>
      <c r="K28" s="32" t="s">
        <v>763</v>
      </c>
      <c r="L28" s="3897"/>
      <c r="M28" s="3898"/>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c r="F30" s="3901" t="s">
        <v>764</v>
      </c>
      <c r="G30" s="3901"/>
      <c r="I30" s="3901" t="s">
        <v>765</v>
      </c>
      <c r="J30" s="3901"/>
      <c r="K30" s="3901"/>
      <c r="L30" s="3901"/>
      <c r="M30" s="3901"/>
      <c r="O30" s="604"/>
      <c r="P30" s="604"/>
      <c r="Q30" s="604"/>
      <c r="R30" s="604"/>
      <c r="S30" s="604"/>
      <c r="T30" s="604"/>
      <c r="U30" s="604"/>
      <c r="V30" s="280"/>
      <c r="W30" s="280"/>
      <c r="X30" s="280"/>
      <c r="Y30" s="280"/>
      <c r="AA30" s="1798">
        <v>30</v>
      </c>
    </row>
    <row r="31" spans="1:27" s="6" customFormat="1">
      <c r="B31" s="6" t="s">
        <v>766</v>
      </c>
      <c r="D31" s="6" t="s">
        <v>767</v>
      </c>
      <c r="F31" s="9" t="s">
        <v>768</v>
      </c>
      <c r="G31" s="9" t="s">
        <v>769</v>
      </c>
      <c r="I31" s="127" t="s">
        <v>770</v>
      </c>
      <c r="J31" s="127">
        <v>1</v>
      </c>
      <c r="K31" s="127">
        <v>2</v>
      </c>
      <c r="L31" s="127">
        <v>3</v>
      </c>
      <c r="M31" s="127">
        <v>4</v>
      </c>
      <c r="O31" s="604"/>
      <c r="P31" s="604"/>
      <c r="Q31" s="604"/>
      <c r="R31" s="604"/>
      <c r="S31" s="604"/>
      <c r="T31" s="604"/>
      <c r="U31" s="604"/>
      <c r="AA31" s="1798">
        <v>31</v>
      </c>
    </row>
    <row r="32" spans="1:27" s="4" customFormat="1" ht="12" customHeight="1">
      <c r="A32" s="77"/>
      <c r="B32" s="2697" t="s">
        <v>771</v>
      </c>
      <c r="C32" s="2698"/>
      <c r="D32" s="3899"/>
      <c r="E32" s="3900"/>
      <c r="F32" s="2699"/>
      <c r="G32" s="2699"/>
      <c r="H32" s="2700"/>
      <c r="I32" s="2701"/>
      <c r="J32" s="2701"/>
      <c r="K32" s="2701"/>
      <c r="L32" s="2701"/>
      <c r="M32" s="2701"/>
      <c r="N32" s="77"/>
      <c r="O32" s="604"/>
      <c r="P32" s="604"/>
      <c r="Q32" s="604"/>
      <c r="R32" s="604"/>
      <c r="S32" s="604"/>
      <c r="T32" s="604"/>
      <c r="U32" s="604"/>
      <c r="V32" s="6"/>
      <c r="W32" s="6"/>
      <c r="X32" s="6"/>
      <c r="Y32" s="6"/>
      <c r="Z32" s="77"/>
      <c r="AA32" s="1798">
        <v>32</v>
      </c>
    </row>
    <row r="33" spans="1:27" s="4" customFormat="1" ht="12" customHeight="1">
      <c r="A33" s="77"/>
      <c r="B33" s="871" t="s">
        <v>772</v>
      </c>
      <c r="C33" s="2344"/>
      <c r="D33" s="3902"/>
      <c r="E33" s="3903"/>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774</v>
      </c>
      <c r="C34" s="2347"/>
      <c r="D34" s="3902"/>
      <c r="E34" s="3903"/>
      <c r="F34" s="130"/>
      <c r="G34" s="130"/>
      <c r="H34" s="2348"/>
      <c r="I34" s="869"/>
      <c r="J34" s="869"/>
      <c r="K34" s="869"/>
      <c r="L34" s="2346"/>
      <c r="M34" s="2346"/>
      <c r="N34" s="77"/>
      <c r="O34" s="3886" t="s">
        <v>773</v>
      </c>
      <c r="P34" s="3886"/>
      <c r="Q34" s="3886"/>
      <c r="R34" s="3886"/>
      <c r="S34" s="3886"/>
      <c r="T34" s="77"/>
      <c r="U34" s="77"/>
      <c r="V34" s="77"/>
      <c r="W34" s="77"/>
      <c r="X34" s="77"/>
      <c r="Y34" s="77"/>
      <c r="Z34" s="77"/>
      <c r="AA34" s="1798">
        <v>34</v>
      </c>
    </row>
    <row r="35" spans="1:27" s="4" customFormat="1" ht="12" customHeight="1">
      <c r="A35" s="77"/>
      <c r="B35" s="873" t="s">
        <v>775</v>
      </c>
      <c r="C35" s="2349"/>
      <c r="D35" s="873" t="s">
        <v>776</v>
      </c>
      <c r="E35" s="2350"/>
      <c r="F35" s="130"/>
      <c r="G35" s="130"/>
      <c r="H35" s="2351"/>
      <c r="I35" s="869"/>
      <c r="J35" s="869"/>
      <c r="K35" s="869"/>
      <c r="L35" s="2346"/>
      <c r="M35" s="2346"/>
      <c r="N35" s="77"/>
      <c r="O35" s="3886"/>
      <c r="P35" s="3886"/>
      <c r="Q35" s="3886"/>
      <c r="R35" s="3886"/>
      <c r="S35" s="3886"/>
      <c r="T35" s="77"/>
      <c r="U35" s="77"/>
      <c r="V35" s="77"/>
      <c r="W35" s="77"/>
      <c r="X35" s="77"/>
      <c r="Y35" s="77"/>
      <c r="Z35" s="77"/>
      <c r="AA35" s="1798">
        <v>35</v>
      </c>
    </row>
    <row r="36" spans="1:27" s="4" customFormat="1" ht="12" customHeight="1">
      <c r="A36" s="77"/>
      <c r="B36" s="874" t="s">
        <v>777</v>
      </c>
      <c r="C36" s="2344"/>
      <c r="D36" s="871" t="s">
        <v>776</v>
      </c>
      <c r="E36" s="2352"/>
      <c r="F36" s="130"/>
      <c r="G36" s="130"/>
      <c r="H36" s="2345"/>
      <c r="I36" s="869"/>
      <c r="J36" s="869"/>
      <c r="K36" s="869"/>
      <c r="L36" s="2346"/>
      <c r="M36" s="2346"/>
      <c r="N36" s="77"/>
      <c r="O36" s="3886"/>
      <c r="P36" s="3886"/>
      <c r="Q36" s="3886"/>
      <c r="R36" s="3886"/>
      <c r="S36" s="3886"/>
      <c r="T36" s="77"/>
      <c r="U36" s="77"/>
      <c r="V36" s="77"/>
      <c r="W36" s="77"/>
      <c r="X36" s="77"/>
      <c r="Y36" s="77"/>
      <c r="Z36" s="77"/>
      <c r="AA36" s="1798">
        <v>36</v>
      </c>
    </row>
    <row r="37" spans="1:27" s="4" customFormat="1" ht="12" customHeight="1">
      <c r="A37" s="77"/>
      <c r="B37" s="874" t="s">
        <v>778</v>
      </c>
      <c r="C37" s="2344"/>
      <c r="D37" s="871" t="s">
        <v>776</v>
      </c>
      <c r="E37" s="2352"/>
      <c r="F37" s="130"/>
      <c r="G37" s="130"/>
      <c r="H37" s="2345"/>
      <c r="I37" s="869"/>
      <c r="J37" s="869"/>
      <c r="K37" s="869"/>
      <c r="L37" s="2346"/>
      <c r="M37" s="2346"/>
      <c r="N37" s="77"/>
      <c r="O37" s="3886"/>
      <c r="P37" s="3886"/>
      <c r="Q37" s="3886"/>
      <c r="R37" s="3886"/>
      <c r="S37" s="3886"/>
      <c r="T37" s="77"/>
      <c r="U37" s="77"/>
      <c r="V37" s="77"/>
      <c r="W37" s="77"/>
      <c r="X37" s="77"/>
      <c r="Y37" s="77"/>
      <c r="Z37" s="77"/>
      <c r="AA37" s="1798">
        <v>37</v>
      </c>
    </row>
    <row r="38" spans="1:27" s="4" customFormat="1" ht="12" customHeight="1">
      <c r="A38" s="77"/>
      <c r="B38" s="875" t="s">
        <v>779</v>
      </c>
      <c r="C38" s="2347"/>
      <c r="D38" s="872" t="s">
        <v>776</v>
      </c>
      <c r="E38" s="2352"/>
      <c r="F38" s="130"/>
      <c r="G38" s="130"/>
      <c r="H38" s="2348"/>
      <c r="I38" s="869"/>
      <c r="J38" s="869"/>
      <c r="K38" s="869"/>
      <c r="L38" s="2346"/>
      <c r="M38" s="2346"/>
      <c r="N38" s="77"/>
      <c r="O38" s="3886"/>
      <c r="P38" s="3886"/>
      <c r="Q38" s="3886"/>
      <c r="R38" s="3886"/>
      <c r="S38" s="3886"/>
      <c r="T38" s="77"/>
      <c r="U38" s="77"/>
      <c r="V38" s="77"/>
      <c r="W38" s="77"/>
      <c r="X38" s="77"/>
      <c r="Y38" s="77"/>
      <c r="Z38" s="77"/>
      <c r="AA38" s="1798">
        <v>38</v>
      </c>
    </row>
    <row r="39" spans="1:27" s="4" customFormat="1" ht="12" customHeight="1">
      <c r="A39" s="77"/>
      <c r="B39" s="873" t="s">
        <v>780</v>
      </c>
      <c r="C39" s="2349"/>
      <c r="D39" s="877" t="s">
        <v>781</v>
      </c>
      <c r="E39" s="2702"/>
      <c r="F39" s="130"/>
      <c r="G39" s="130"/>
      <c r="H39" s="2351"/>
      <c r="I39" s="869"/>
      <c r="J39" s="869"/>
      <c r="K39" s="869"/>
      <c r="L39" s="2346"/>
      <c r="M39" s="2346"/>
      <c r="N39" s="77"/>
      <c r="O39" s="3886"/>
      <c r="P39" s="3886"/>
      <c r="Q39" s="3886"/>
      <c r="R39" s="3886"/>
      <c r="S39" s="3886"/>
      <c r="T39" s="77"/>
      <c r="U39" s="77"/>
      <c r="V39" s="77"/>
      <c r="W39" s="77"/>
      <c r="X39" s="77"/>
      <c r="Y39" s="77"/>
      <c r="Z39" s="77"/>
      <c r="AA39" s="1798">
        <v>39</v>
      </c>
    </row>
    <row r="40" spans="1:27" s="4" customFormat="1" ht="12" customHeight="1">
      <c r="A40" s="77"/>
      <c r="B40" s="876" t="s">
        <v>782</v>
      </c>
      <c r="C40" s="2354"/>
      <c r="D40" s="128"/>
      <c r="E40" s="2355"/>
      <c r="F40" s="130"/>
      <c r="G40" s="130"/>
      <c r="H40" s="2348"/>
      <c r="I40" s="869"/>
      <c r="J40" s="869"/>
      <c r="K40" s="869"/>
      <c r="L40" s="2346"/>
      <c r="M40" s="2346"/>
      <c r="N40" s="77"/>
      <c r="O40" s="3886"/>
      <c r="P40" s="3886"/>
      <c r="Q40" s="3886"/>
      <c r="R40" s="3886"/>
      <c r="S40" s="3886"/>
      <c r="T40" s="77"/>
      <c r="U40" s="77"/>
      <c r="V40" s="77"/>
      <c r="W40" s="77"/>
      <c r="X40" s="77"/>
      <c r="Y40" s="77"/>
      <c r="Z40" s="77"/>
      <c r="AA40" s="1798">
        <v>40</v>
      </c>
    </row>
    <row r="41" spans="1:27">
      <c r="B41" s="1783" t="s">
        <v>783</v>
      </c>
      <c r="C41" s="126"/>
      <c r="D41" s="126"/>
      <c r="E41" s="126"/>
      <c r="O41" s="3886"/>
      <c r="P41" s="3886"/>
      <c r="Q41" s="3886"/>
      <c r="R41" s="3886"/>
      <c r="S41" s="3886"/>
      <c r="AA41" s="1798">
        <v>41</v>
      </c>
    </row>
    <row r="42" spans="1:27" s="4" customFormat="1" ht="12" customHeight="1">
      <c r="A42" s="77"/>
      <c r="B42" s="1781" t="s">
        <v>789</v>
      </c>
      <c r="C42" s="2344"/>
      <c r="D42" s="871" t="s">
        <v>785</v>
      </c>
      <c r="E42" s="2350"/>
      <c r="F42" s="130"/>
      <c r="G42" s="130"/>
      <c r="H42" s="2351"/>
      <c r="I42" s="869"/>
      <c r="J42" s="869"/>
      <c r="K42" s="869"/>
      <c r="L42" s="2346"/>
      <c r="M42" s="2346"/>
      <c r="N42" s="77"/>
      <c r="O42" s="3886"/>
      <c r="P42" s="3886"/>
      <c r="Q42" s="3886"/>
      <c r="R42" s="3886"/>
      <c r="S42" s="3886"/>
      <c r="T42" s="77"/>
      <c r="U42" s="77"/>
      <c r="V42" s="77"/>
      <c r="W42" s="77"/>
      <c r="X42" s="77"/>
      <c r="Y42" s="77"/>
      <c r="Z42" s="77"/>
      <c r="AA42" s="1798">
        <v>42</v>
      </c>
    </row>
    <row r="43" spans="1:27" s="4" customFormat="1" ht="12" customHeight="1">
      <c r="A43" s="77"/>
      <c r="B43" s="1782" t="s">
        <v>786</v>
      </c>
      <c r="C43" s="2347"/>
      <c r="D43" s="872" t="s">
        <v>776</v>
      </c>
      <c r="E43" s="2352"/>
      <c r="F43" s="130"/>
      <c r="G43" s="130"/>
      <c r="H43" s="2348"/>
      <c r="I43" s="869"/>
      <c r="J43" s="869"/>
      <c r="K43" s="869"/>
      <c r="L43" s="2346"/>
      <c r="M43" s="2346"/>
      <c r="N43" s="77"/>
      <c r="O43" s="3886"/>
      <c r="P43" s="3886"/>
      <c r="Q43" s="3886"/>
      <c r="R43" s="3886"/>
      <c r="S43" s="3886"/>
      <c r="T43" s="77"/>
      <c r="U43" s="77"/>
      <c r="V43" s="77"/>
      <c r="W43" s="77"/>
      <c r="X43" s="77"/>
      <c r="Y43" s="77"/>
      <c r="Z43" s="77"/>
      <c r="AA43" s="1798">
        <v>43</v>
      </c>
    </row>
    <row r="44" spans="1:27" s="4" customFormat="1" ht="12" customHeight="1">
      <c r="A44" s="77"/>
      <c r="B44" s="1786" t="s">
        <v>435</v>
      </c>
      <c r="C44" s="3904"/>
      <c r="D44" s="3905"/>
      <c r="E44" s="3906"/>
      <c r="F44" s="131"/>
      <c r="G44" s="131"/>
      <c r="H44" s="2356"/>
      <c r="I44" s="870"/>
      <c r="J44" s="870"/>
      <c r="K44" s="870"/>
      <c r="L44" s="2357"/>
      <c r="M44" s="2357"/>
      <c r="N44" s="77"/>
      <c r="O44" s="3886"/>
      <c r="P44" s="3886"/>
      <c r="Q44" s="3886"/>
      <c r="R44" s="3886"/>
      <c r="S44" s="3886"/>
      <c r="T44" s="77"/>
      <c r="U44" s="77"/>
      <c r="V44" s="77"/>
      <c r="W44" s="77"/>
      <c r="X44" s="77"/>
      <c r="Y44" s="77"/>
      <c r="Z44" s="77"/>
      <c r="AA44" s="1798">
        <v>44</v>
      </c>
    </row>
    <row r="45" spans="1:27" s="4" customFormat="1">
      <c r="A45" s="77"/>
      <c r="B45" s="6" t="s">
        <v>787</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0</v>
      </c>
      <c r="K45" s="2542">
        <f>IF(SUM(K32:K44)=0,0,IF(OR($D32="&lt;&lt;Select Fuel &gt;&gt;",$D34="&lt;&lt;Select Fuel &gt;&gt;",$D35="&lt;&lt;Select Fuel &gt;&gt;"),"Select Fuel",IF($E39="&lt;Select&gt;","Submeter?",SUM(K32:K44))))</f>
        <v>0</v>
      </c>
      <c r="L45" s="2542">
        <f>IF(SUM(L32:L44)=0,0,IF(OR($D32="&lt;&lt;Select Fuel &gt;&gt;",$D34="&lt;&lt;Select Fuel &gt;&gt;",$D35="&lt;&lt;Select Fuel &gt;&gt;"),"Select Fuel",IF($E39="&lt;Select&gt;","Submeter?",SUM(L32:L44))))</f>
        <v>0</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790</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67</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907" t="s">
        <v>7708</v>
      </c>
      <c r="C49" s="3908"/>
      <c r="D49" s="3908"/>
      <c r="E49" s="3908"/>
      <c r="F49" s="3908"/>
      <c r="G49" s="3908"/>
      <c r="H49" s="3908"/>
      <c r="I49" s="3908"/>
      <c r="J49" s="3908"/>
      <c r="K49" s="3908"/>
      <c r="L49" s="3908"/>
      <c r="M49" s="3909"/>
      <c r="N49"/>
      <c r="O49" s="3379" t="s">
        <v>288</v>
      </c>
      <c r="P49" s="3379"/>
      <c r="Q49" s="3379"/>
      <c r="R49" s="3379"/>
      <c r="S49" s="3379"/>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379"/>
      <c r="P50" s="3379"/>
      <c r="Q50" s="3379"/>
      <c r="R50" s="3379"/>
      <c r="S50" s="3379"/>
      <c r="T50" s="77"/>
      <c r="U50" s="77"/>
      <c r="V50" s="77"/>
      <c r="W50" s="77"/>
      <c r="X50" s="77"/>
      <c r="Y50" s="77"/>
      <c r="Z50" s="77"/>
      <c r="AA50" s="1798">
        <v>50</v>
      </c>
    </row>
    <row r="51" spans="1:27" s="4" customFormat="1" ht="12" customHeight="1">
      <c r="A51" s="6"/>
      <c r="B51" s="6" t="s">
        <v>791</v>
      </c>
      <c r="C51" s="77"/>
      <c r="D51" s="77"/>
      <c r="E51" s="77"/>
      <c r="F51" s="77"/>
      <c r="G51" s="77"/>
      <c r="H51" s="77"/>
      <c r="I51" s="77"/>
      <c r="J51" s="77"/>
      <c r="K51" s="77"/>
      <c r="L51" s="77"/>
      <c r="M51"/>
      <c r="N51"/>
      <c r="O51" s="3379"/>
      <c r="P51" s="3379"/>
      <c r="Q51" s="3379"/>
      <c r="R51" s="3379"/>
      <c r="S51" s="3379"/>
      <c r="T51" s="77"/>
      <c r="U51" s="77"/>
      <c r="V51" s="77"/>
      <c r="W51" s="77"/>
      <c r="X51" s="77"/>
      <c r="Y51" s="77"/>
      <c r="Z51" s="77"/>
      <c r="AA51" s="1798">
        <v>51</v>
      </c>
    </row>
    <row r="52" spans="1:27" s="4" customFormat="1" ht="24.75" customHeight="1">
      <c r="A52" s="77"/>
      <c r="B52" s="3910"/>
      <c r="C52" s="3911"/>
      <c r="D52" s="3911"/>
      <c r="E52" s="3911"/>
      <c r="F52" s="3911"/>
      <c r="G52" s="3911"/>
      <c r="H52" s="3911"/>
      <c r="I52" s="3911"/>
      <c r="J52" s="3911"/>
      <c r="K52" s="3911"/>
      <c r="L52" s="3911"/>
      <c r="M52" s="3912"/>
      <c r="N52"/>
      <c r="O52" s="3379"/>
      <c r="P52" s="3379"/>
      <c r="Q52" s="3379"/>
      <c r="R52" s="3379"/>
      <c r="S52" s="3379"/>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D33:E33"/>
    <mergeCell ref="D34:E34"/>
    <mergeCell ref="C44:E44"/>
    <mergeCell ref="B49:M49"/>
    <mergeCell ref="O49:S52"/>
    <mergeCell ref="B52:M52"/>
    <mergeCell ref="O34:S44"/>
    <mergeCell ref="D32:E32"/>
    <mergeCell ref="F10:G10"/>
    <mergeCell ref="I10:M10"/>
    <mergeCell ref="D12:E12"/>
    <mergeCell ref="D13:E13"/>
    <mergeCell ref="I27:M27"/>
    <mergeCell ref="I28:J28"/>
    <mergeCell ref="L28:M28"/>
    <mergeCell ref="F30:G30"/>
    <mergeCell ref="I30:M30"/>
    <mergeCell ref="D14:E14"/>
    <mergeCell ref="C24:E24"/>
    <mergeCell ref="O13:S24"/>
    <mergeCell ref="A1:M1"/>
    <mergeCell ref="B3:E3"/>
    <mergeCell ref="I3:J3"/>
    <mergeCell ref="I7:M7"/>
    <mergeCell ref="I8:J8"/>
    <mergeCell ref="L8:M8"/>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6"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167" zoomScaleNormal="100" workbookViewId="0">
      <selection activeCell="L261" sqref="L261:M261"/>
    </sheetView>
  </sheetViews>
  <sheetFormatPr defaultColWidth="9.140625" defaultRowHeight="12.75"/>
  <cols>
    <col min="1" max="1" width="2.85546875" style="4" customWidth="1"/>
    <col min="2" max="2" width="10" style="4" customWidth="1"/>
    <col min="3" max="3" width="7.5703125" style="4" customWidth="1"/>
    <col min="4" max="4" width="6.42578125" style="4" customWidth="1"/>
    <col min="5" max="5" width="6.85546875" style="4" customWidth="1"/>
    <col min="6" max="6" width="8.140625" style="4" customWidth="1"/>
    <col min="7" max="8" width="9.85546875" style="4" customWidth="1"/>
    <col min="9" max="9" width="10.85546875" style="4" customWidth="1"/>
    <col min="10" max="10" width="11.85546875" style="4" customWidth="1"/>
    <col min="11" max="11" width="10.140625" style="4" customWidth="1"/>
    <col min="12" max="12" width="9.85546875" style="4" customWidth="1"/>
    <col min="13" max="14" width="11" style="4" customWidth="1"/>
    <col min="15" max="15" width="13.85546875" style="4" customWidth="1"/>
    <col min="16" max="16" width="15.42578125" style="4" customWidth="1"/>
    <col min="17" max="17" width="12.42578125" style="35" customWidth="1"/>
    <col min="18" max="18" width="9.85546875" style="35" customWidth="1"/>
    <col min="19" max="21" width="7.85546875" style="35" customWidth="1"/>
    <col min="22" max="22" width="59.140625" style="35" customWidth="1"/>
    <col min="23" max="23" width="47.85546875" style="35" customWidth="1"/>
    <col min="24" max="172" width="9.140625" style="251"/>
    <col min="173" max="173" width="12.5703125" style="251" customWidth="1"/>
    <col min="174" max="174" width="8.140625" style="251" customWidth="1"/>
    <col min="175" max="178" width="7.140625" style="251" customWidth="1"/>
    <col min="179" max="179" width="8.140625" style="251" customWidth="1"/>
    <col min="180" max="183" width="7.140625" style="251" customWidth="1"/>
    <col min="184" max="193" width="9.140625" style="251"/>
    <col min="194" max="194" width="8.140625" style="251" customWidth="1"/>
    <col min="195" max="198" width="7.140625" style="251" customWidth="1"/>
    <col min="199" max="203" width="9.140625" style="251"/>
    <col min="204" max="204" width="8.140625" style="251" customWidth="1"/>
    <col min="205" max="208" width="7.140625" style="251" customWidth="1"/>
    <col min="209" max="288" width="9.140625" style="251"/>
    <col min="289" max="293" width="11.140625" style="251" customWidth="1"/>
    <col min="294" max="308" width="9.140625" style="251"/>
    <col min="309" max="309" width="10.140625" style="251" customWidth="1"/>
    <col min="310" max="313" width="10" style="251" customWidth="1"/>
    <col min="314" max="317" width="9.140625" style="251"/>
    <col min="318" max="318" width="9.140625" style="1185"/>
    <col min="319" max="322" width="9.140625" style="251"/>
    <col min="323" max="323" width="9.140625" style="1185"/>
    <col min="324" max="327" width="11.42578125" style="251" customWidth="1"/>
    <col min="328" max="328" width="11.42578125" style="1185" customWidth="1"/>
    <col min="329" max="332" width="11.42578125" style="251" customWidth="1"/>
    <col min="333" max="333" width="11.42578125" style="1185" customWidth="1"/>
    <col min="334" max="348" width="9.140625" style="1185"/>
    <col min="349" max="353" width="11" style="1185" customWidth="1"/>
    <col min="354" max="354" width="9.140625" style="1185"/>
    <col min="355" max="360" width="9.140625" style="251"/>
    <col min="361" max="361" width="9.140625" style="255"/>
    <col min="362" max="376" width="9.140625" style="251"/>
    <col min="377" max="378" width="9.140625" style="255"/>
    <col min="379" max="385" width="10.140625" style="251" customWidth="1"/>
    <col min="386" max="388" width="9.140625" style="251"/>
    <col min="389" max="389" width="10.42578125" style="251" customWidth="1"/>
    <col min="390" max="393" width="10.140625" style="251" customWidth="1"/>
    <col min="394" max="411" width="9.140625" style="251"/>
    <col min="412" max="414" width="9.140625" style="77"/>
    <col min="415" max="415" width="9.140625" style="1794"/>
    <col min="416" max="416" width="9.140625" style="1798"/>
    <col min="417" max="528" width="9.140625" style="77"/>
    <col min="529" max="16384" width="9.140625" style="35"/>
  </cols>
  <sheetData>
    <row r="1" spans="1:528" s="1166" customFormat="1" ht="12.75" hidden="1" customHeight="1">
      <c r="B1" s="1166" t="s">
        <v>792</v>
      </c>
      <c r="C1" s="1166" t="s">
        <v>793</v>
      </c>
      <c r="D1" s="1166" t="s">
        <v>794</v>
      </c>
      <c r="E1" s="1166" t="s">
        <v>795</v>
      </c>
      <c r="F1" s="1166" t="s">
        <v>796</v>
      </c>
      <c r="G1" s="1166" t="s">
        <v>797</v>
      </c>
      <c r="H1" s="1166" t="s">
        <v>798</v>
      </c>
      <c r="I1" s="1166" t="s">
        <v>799</v>
      </c>
      <c r="J1" s="1166" t="s">
        <v>800</v>
      </c>
      <c r="K1" s="1166" t="s">
        <v>801</v>
      </c>
      <c r="L1" s="1166" t="s">
        <v>802</v>
      </c>
      <c r="M1" s="1166" t="s">
        <v>803</v>
      </c>
      <c r="N1" s="1166" t="s">
        <v>804</v>
      </c>
      <c r="O1" s="1166" t="s">
        <v>805</v>
      </c>
      <c r="P1" s="1166" t="s">
        <v>806</v>
      </c>
      <c r="Q1" s="1166" t="s">
        <v>807</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677" t="str">
        <f>CONCATENATE("PART FOUR - PROJECTED REVENUES &amp; EXPENSES","  -  ",'Part I-Project Identification'!$O$7," ",'Part I-Project Identification'!$F$27,", ",'Part I-Project Identification'!F28,", ",'Part I-Project Identification'!J28," County")</f>
        <v>PART FOUR - PROJECTED REVENUES &amp; EXPENSES  -  2026-0xx Westchester Village II, Jonesboro, Clayton County</v>
      </c>
      <c r="B2" s="3678"/>
      <c r="C2" s="3678"/>
      <c r="D2" s="3678"/>
      <c r="E2" s="3678"/>
      <c r="F2" s="3678"/>
      <c r="G2" s="3678"/>
      <c r="H2" s="3678"/>
      <c r="I2" s="3678"/>
      <c r="J2" s="3678"/>
      <c r="K2" s="3678"/>
      <c r="L2" s="3678"/>
      <c r="M2" s="3678"/>
      <c r="N2" s="3678"/>
      <c r="O2" s="3678"/>
      <c r="P2" s="3678"/>
      <c r="Q2" s="3679"/>
      <c r="T2" s="966" t="str">
        <f>A2</f>
        <v>PART FOUR - PROJECTED REVENUES &amp; EXPENSES  -  2026-0xx Westchester Village II, Jonesboro, Clayton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21</v>
      </c>
      <c r="B4" s="3" t="s">
        <v>808</v>
      </c>
      <c r="C4" s="43"/>
      <c r="D4" s="1016" t="s">
        <v>809</v>
      </c>
      <c r="E4" s="1016"/>
      <c r="F4" s="1016"/>
      <c r="G4" s="1016"/>
      <c r="H4" s="1016"/>
      <c r="I4" s="1016"/>
      <c r="J4" s="1016"/>
      <c r="K4" s="59"/>
      <c r="L4" s="59"/>
      <c r="M4" s="59"/>
      <c r="O4" s="104" t="s">
        <v>810</v>
      </c>
      <c r="P4" s="3968" t="str">
        <f>'Part I-Project Identification'!$O$30</f>
        <v>Atlanta-Sandy Springs-Marietta</v>
      </c>
      <c r="Q4" s="3968"/>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811</v>
      </c>
      <c r="JO4" s="1771" t="s">
        <v>812</v>
      </c>
      <c r="JP4" s="1771" t="s">
        <v>813</v>
      </c>
      <c r="JQ4" s="1771" t="s">
        <v>814</v>
      </c>
      <c r="JR4" s="1771" t="s">
        <v>815</v>
      </c>
      <c r="JS4" s="1771" t="s">
        <v>811</v>
      </c>
      <c r="JT4" s="1771" t="s">
        <v>812</v>
      </c>
      <c r="JU4" s="1771" t="s">
        <v>813</v>
      </c>
      <c r="JV4" s="1771" t="s">
        <v>814</v>
      </c>
      <c r="JW4" s="1771" t="s">
        <v>815</v>
      </c>
      <c r="JX4" s="1772"/>
      <c r="JY4" s="1772"/>
      <c r="JZ4" s="1772"/>
      <c r="KA4" s="1772"/>
      <c r="KB4" s="1772"/>
      <c r="KC4" s="1772"/>
      <c r="KD4" s="1772"/>
      <c r="KE4" s="1772"/>
      <c r="KF4" s="1772"/>
      <c r="KG4" s="1772"/>
      <c r="KH4" s="1771" t="s">
        <v>811</v>
      </c>
      <c r="KI4" s="1771" t="s">
        <v>812</v>
      </c>
      <c r="KJ4" s="1771" t="s">
        <v>813</v>
      </c>
      <c r="KK4" s="1771" t="s">
        <v>814</v>
      </c>
      <c r="KL4" s="1771" t="s">
        <v>815</v>
      </c>
      <c r="KM4" s="1771" t="s">
        <v>811</v>
      </c>
      <c r="KN4" s="1771" t="s">
        <v>812</v>
      </c>
      <c r="KO4" s="1771" t="s">
        <v>813</v>
      </c>
      <c r="KP4" s="1771" t="s">
        <v>814</v>
      </c>
      <c r="KQ4" s="1771" t="s">
        <v>815</v>
      </c>
      <c r="KR4" s="1771" t="s">
        <v>811</v>
      </c>
      <c r="KS4" s="1771" t="s">
        <v>812</v>
      </c>
      <c r="KT4" s="1771" t="s">
        <v>813</v>
      </c>
      <c r="KU4" s="1771" t="s">
        <v>814</v>
      </c>
      <c r="KV4" s="1771" t="s">
        <v>815</v>
      </c>
      <c r="KW4" s="1771" t="s">
        <v>811</v>
      </c>
      <c r="KX4" s="1771" t="s">
        <v>812</v>
      </c>
      <c r="KY4" s="1771" t="s">
        <v>813</v>
      </c>
      <c r="KZ4" s="1771" t="s">
        <v>814</v>
      </c>
      <c r="LA4" s="1771" t="s">
        <v>815</v>
      </c>
      <c r="LB4" s="1771" t="s">
        <v>811</v>
      </c>
      <c r="LC4" s="1771" t="s">
        <v>812</v>
      </c>
      <c r="LD4" s="1771" t="s">
        <v>813</v>
      </c>
      <c r="LE4" s="1771" t="s">
        <v>814</v>
      </c>
      <c r="LF4" s="1771" t="s">
        <v>815</v>
      </c>
      <c r="LG4" s="1771" t="s">
        <v>811</v>
      </c>
      <c r="LH4" s="1771" t="s">
        <v>812</v>
      </c>
      <c r="LI4" s="1771" t="s">
        <v>813</v>
      </c>
      <c r="LJ4" s="1771" t="s">
        <v>814</v>
      </c>
      <c r="LK4" s="1771" t="s">
        <v>815</v>
      </c>
      <c r="LL4" s="1771" t="s">
        <v>811</v>
      </c>
      <c r="LM4" s="1771" t="s">
        <v>812</v>
      </c>
      <c r="LN4" s="1771" t="s">
        <v>813</v>
      </c>
      <c r="LO4" s="1771" t="s">
        <v>814</v>
      </c>
      <c r="LP4" s="1771" t="s">
        <v>815</v>
      </c>
      <c r="LQ4" s="1771" t="s">
        <v>811</v>
      </c>
      <c r="LR4" s="1771" t="s">
        <v>812</v>
      </c>
      <c r="LS4" s="1771" t="s">
        <v>813</v>
      </c>
      <c r="LT4" s="1771" t="s">
        <v>814</v>
      </c>
      <c r="LU4" s="1771" t="s">
        <v>815</v>
      </c>
      <c r="LV4" s="1771" t="s">
        <v>811</v>
      </c>
      <c r="LW4" s="1771" t="s">
        <v>812</v>
      </c>
      <c r="LX4" s="1771" t="s">
        <v>813</v>
      </c>
      <c r="LY4" s="1771" t="s">
        <v>814</v>
      </c>
      <c r="LZ4" s="1771" t="s">
        <v>815</v>
      </c>
      <c r="MA4" s="1771" t="s">
        <v>811</v>
      </c>
      <c r="MB4" s="1771" t="s">
        <v>812</v>
      </c>
      <c r="MC4" s="1771" t="s">
        <v>813</v>
      </c>
      <c r="MD4" s="1771" t="s">
        <v>814</v>
      </c>
      <c r="ME4" s="1771" t="s">
        <v>815</v>
      </c>
      <c r="MF4" s="1771" t="s">
        <v>811</v>
      </c>
      <c r="MG4" s="1771" t="s">
        <v>812</v>
      </c>
      <c r="MH4" s="1771" t="s">
        <v>813</v>
      </c>
      <c r="MI4" s="1771" t="s">
        <v>814</v>
      </c>
      <c r="MJ4" s="1771" t="s">
        <v>815</v>
      </c>
      <c r="MK4" s="1771" t="s">
        <v>811</v>
      </c>
      <c r="ML4" s="1771" t="s">
        <v>812</v>
      </c>
      <c r="MM4" s="1771" t="s">
        <v>813</v>
      </c>
      <c r="MN4" s="1771" t="s">
        <v>814</v>
      </c>
      <c r="MO4" s="1771" t="s">
        <v>815</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919" t="s">
        <v>816</v>
      </c>
      <c r="NP4" s="3919" t="s">
        <v>817</v>
      </c>
      <c r="NQ4" s="3919" t="s">
        <v>818</v>
      </c>
      <c r="NR4" s="3919" t="s">
        <v>819</v>
      </c>
      <c r="NS4" s="3919" t="s">
        <v>820</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975" t="s">
        <v>821</v>
      </c>
      <c r="R5" s="2544"/>
      <c r="S5" s="232"/>
      <c r="T5" s="232"/>
      <c r="U5" s="232"/>
      <c r="W5" s="233"/>
      <c r="X5" s="3919" t="s">
        <v>822</v>
      </c>
      <c r="Y5" s="3919" t="s">
        <v>823</v>
      </c>
      <c r="Z5" s="3919" t="s">
        <v>824</v>
      </c>
      <c r="AA5" s="3919" t="s">
        <v>825</v>
      </c>
      <c r="AB5" s="3919" t="s">
        <v>826</v>
      </c>
      <c r="AC5" s="3919" t="s">
        <v>827</v>
      </c>
      <c r="AD5" s="3919" t="s">
        <v>828</v>
      </c>
      <c r="AE5" s="3919" t="s">
        <v>829</v>
      </c>
      <c r="AF5" s="3919" t="s">
        <v>830</v>
      </c>
      <c r="AG5" s="3919" t="s">
        <v>831</v>
      </c>
      <c r="AH5" s="3919" t="s">
        <v>832</v>
      </c>
      <c r="AI5" s="3919" t="s">
        <v>833</v>
      </c>
      <c r="AJ5" s="3919" t="s">
        <v>834</v>
      </c>
      <c r="AK5" s="3919" t="s">
        <v>835</v>
      </c>
      <c r="AL5" s="3919" t="s">
        <v>836</v>
      </c>
      <c r="AM5" s="3919" t="s">
        <v>837</v>
      </c>
      <c r="AN5" s="3919" t="s">
        <v>838</v>
      </c>
      <c r="AO5" s="3919" t="s">
        <v>839</v>
      </c>
      <c r="AP5" s="3919" t="s">
        <v>840</v>
      </c>
      <c r="AQ5" s="3919" t="s">
        <v>841</v>
      </c>
      <c r="AR5" s="3919" t="s">
        <v>842</v>
      </c>
      <c r="AS5" s="3919" t="s">
        <v>843</v>
      </c>
      <c r="AT5" s="3919" t="s">
        <v>844</v>
      </c>
      <c r="AU5" s="3919" t="s">
        <v>845</v>
      </c>
      <c r="AV5" s="3919" t="s">
        <v>846</v>
      </c>
      <c r="AW5" s="3919" t="s">
        <v>847</v>
      </c>
      <c r="AX5" s="3919" t="s">
        <v>848</v>
      </c>
      <c r="AY5" s="3919" t="s">
        <v>849</v>
      </c>
      <c r="AZ5" s="3919" t="s">
        <v>850</v>
      </c>
      <c r="BA5" s="3919" t="s">
        <v>851</v>
      </c>
      <c r="BB5" s="3919" t="s">
        <v>852</v>
      </c>
      <c r="BC5" s="3919" t="s">
        <v>853</v>
      </c>
      <c r="BD5" s="3919" t="s">
        <v>854</v>
      </c>
      <c r="BE5" s="3919" t="s">
        <v>855</v>
      </c>
      <c r="BF5" s="3919" t="s">
        <v>856</v>
      </c>
      <c r="BG5" s="3919" t="s">
        <v>857</v>
      </c>
      <c r="BH5" s="3919" t="s">
        <v>858</v>
      </c>
      <c r="BI5" s="3919" t="s">
        <v>859</v>
      </c>
      <c r="BJ5" s="3919" t="s">
        <v>860</v>
      </c>
      <c r="BK5" s="3919" t="s">
        <v>861</v>
      </c>
      <c r="BL5" s="3919" t="s">
        <v>862</v>
      </c>
      <c r="BM5" s="3919" t="s">
        <v>863</v>
      </c>
      <c r="BN5" s="3919" t="s">
        <v>864</v>
      </c>
      <c r="BO5" s="3919" t="s">
        <v>865</v>
      </c>
      <c r="BP5" s="3919" t="s">
        <v>866</v>
      </c>
      <c r="BQ5" s="3919" t="s">
        <v>867</v>
      </c>
      <c r="BR5" s="3919" t="s">
        <v>868</v>
      </c>
      <c r="BS5" s="3919" t="s">
        <v>869</v>
      </c>
      <c r="BT5" s="3919" t="s">
        <v>870</v>
      </c>
      <c r="BU5" s="3919" t="s">
        <v>871</v>
      </c>
      <c r="BV5" s="3919" t="s">
        <v>872</v>
      </c>
      <c r="BW5" s="3919" t="s">
        <v>873</v>
      </c>
      <c r="BX5" s="3919" t="s">
        <v>874</v>
      </c>
      <c r="BY5" s="3919" t="s">
        <v>875</v>
      </c>
      <c r="BZ5" s="3919" t="s">
        <v>876</v>
      </c>
      <c r="CA5" s="3919" t="s">
        <v>877</v>
      </c>
      <c r="CB5" s="3919" t="s">
        <v>878</v>
      </c>
      <c r="CC5" s="3919" t="s">
        <v>879</v>
      </c>
      <c r="CD5" s="3919" t="s">
        <v>880</v>
      </c>
      <c r="CE5" s="3919" t="s">
        <v>881</v>
      </c>
      <c r="CF5" s="3919" t="s">
        <v>882</v>
      </c>
      <c r="CG5" s="3919" t="s">
        <v>883</v>
      </c>
      <c r="CH5" s="3919" t="s">
        <v>884</v>
      </c>
      <c r="CI5" s="3919" t="s">
        <v>885</v>
      </c>
      <c r="CJ5" s="3919" t="s">
        <v>886</v>
      </c>
      <c r="CK5" s="3919" t="s">
        <v>887</v>
      </c>
      <c r="CL5" s="3919" t="s">
        <v>888</v>
      </c>
      <c r="CM5" s="3919" t="s">
        <v>889</v>
      </c>
      <c r="CN5" s="3919" t="s">
        <v>890</v>
      </c>
      <c r="CO5" s="3919" t="s">
        <v>891</v>
      </c>
      <c r="CP5" s="3919" t="s">
        <v>892</v>
      </c>
      <c r="CQ5" s="3919" t="s">
        <v>893</v>
      </c>
      <c r="CR5" s="3919" t="s">
        <v>894</v>
      </c>
      <c r="CS5" s="3919" t="s">
        <v>895</v>
      </c>
      <c r="CT5" s="3919" t="s">
        <v>896</v>
      </c>
      <c r="CU5" s="3919" t="s">
        <v>897</v>
      </c>
      <c r="CV5" s="3919" t="s">
        <v>898</v>
      </c>
      <c r="CW5" s="3919" t="s">
        <v>899</v>
      </c>
      <c r="CX5" s="3919" t="s">
        <v>900</v>
      </c>
      <c r="CY5" s="3919" t="s">
        <v>901</v>
      </c>
      <c r="CZ5" s="3919" t="s">
        <v>902</v>
      </c>
      <c r="DA5" s="3919" t="s">
        <v>903</v>
      </c>
      <c r="DB5" s="3919" t="s">
        <v>904</v>
      </c>
      <c r="DC5" s="3919" t="s">
        <v>905</v>
      </c>
      <c r="DD5" s="3919" t="s">
        <v>906</v>
      </c>
      <c r="DE5" s="3919" t="s">
        <v>907</v>
      </c>
      <c r="DF5" s="3919" t="s">
        <v>908</v>
      </c>
      <c r="DG5" s="3919" t="s">
        <v>909</v>
      </c>
      <c r="DH5" s="3919" t="s">
        <v>910</v>
      </c>
      <c r="DI5" s="3919" t="s">
        <v>911</v>
      </c>
      <c r="DJ5" s="3919" t="s">
        <v>912</v>
      </c>
      <c r="DK5" s="3919" t="s">
        <v>913</v>
      </c>
      <c r="DL5" s="3919" t="s">
        <v>914</v>
      </c>
      <c r="DM5" s="3919" t="s">
        <v>915</v>
      </c>
      <c r="DN5" s="3919" t="s">
        <v>916</v>
      </c>
      <c r="DO5" s="3919" t="s">
        <v>917</v>
      </c>
      <c r="DP5" s="3919" t="s">
        <v>918</v>
      </c>
      <c r="DQ5" s="3919" t="s">
        <v>919</v>
      </c>
      <c r="DR5" s="3919" t="s">
        <v>920</v>
      </c>
      <c r="DS5" s="3919" t="s">
        <v>921</v>
      </c>
      <c r="DT5" s="3919" t="s">
        <v>922</v>
      </c>
      <c r="DU5" s="3919" t="s">
        <v>923</v>
      </c>
      <c r="DV5" s="3919" t="s">
        <v>924</v>
      </c>
      <c r="DW5" s="3919" t="s">
        <v>925</v>
      </c>
      <c r="DX5" s="3919" t="s">
        <v>926</v>
      </c>
      <c r="DY5" s="3919" t="s">
        <v>927</v>
      </c>
      <c r="DZ5" s="3919" t="s">
        <v>928</v>
      </c>
      <c r="EA5" s="3919" t="s">
        <v>929</v>
      </c>
      <c r="EB5" s="3919" t="s">
        <v>930</v>
      </c>
      <c r="EC5" s="3919" t="s">
        <v>931</v>
      </c>
      <c r="ED5" s="3919" t="s">
        <v>932</v>
      </c>
      <c r="EE5" s="3919" t="s">
        <v>933</v>
      </c>
      <c r="EF5" s="3919" t="s">
        <v>934</v>
      </c>
      <c r="EG5" s="3919" t="s">
        <v>935</v>
      </c>
      <c r="EH5" s="3919" t="s">
        <v>936</v>
      </c>
      <c r="EI5" s="3919" t="s">
        <v>937</v>
      </c>
      <c r="EJ5" s="3919" t="s">
        <v>938</v>
      </c>
      <c r="EK5" s="3919" t="s">
        <v>939</v>
      </c>
      <c r="EL5" s="3919" t="s">
        <v>940</v>
      </c>
      <c r="EM5" s="3919" t="s">
        <v>941</v>
      </c>
      <c r="EN5" s="3919" t="s">
        <v>942</v>
      </c>
      <c r="EO5" s="3919" t="s">
        <v>943</v>
      </c>
      <c r="EP5" s="3919" t="s">
        <v>944</v>
      </c>
      <c r="EQ5" s="3919" t="s">
        <v>945</v>
      </c>
      <c r="ER5" s="3919" t="s">
        <v>946</v>
      </c>
      <c r="ES5" s="3919" t="s">
        <v>947</v>
      </c>
      <c r="ET5" s="3919" t="s">
        <v>948</v>
      </c>
      <c r="EU5" s="3919" t="s">
        <v>949</v>
      </c>
      <c r="EV5" s="3919" t="s">
        <v>950</v>
      </c>
      <c r="EW5" s="3919" t="s">
        <v>951</v>
      </c>
      <c r="EX5" s="3919" t="s">
        <v>952</v>
      </c>
      <c r="EY5" s="3919" t="s">
        <v>953</v>
      </c>
      <c r="EZ5" s="3919" t="s">
        <v>954</v>
      </c>
      <c r="FA5" s="3919" t="s">
        <v>955</v>
      </c>
      <c r="FB5" s="3919" t="s">
        <v>956</v>
      </c>
      <c r="FC5" s="3919" t="s">
        <v>957</v>
      </c>
      <c r="FD5" s="3919" t="s">
        <v>958</v>
      </c>
      <c r="FE5" s="3919" t="s">
        <v>959</v>
      </c>
      <c r="FF5" s="3919" t="s">
        <v>960</v>
      </c>
      <c r="FG5" s="3919" t="s">
        <v>961</v>
      </c>
      <c r="FH5" s="3919" t="s">
        <v>962</v>
      </c>
      <c r="FI5" s="3919" t="s">
        <v>963</v>
      </c>
      <c r="FJ5" s="3919" t="s">
        <v>964</v>
      </c>
      <c r="FK5" s="3919" t="s">
        <v>965</v>
      </c>
      <c r="FL5" s="3919" t="s">
        <v>966</v>
      </c>
      <c r="FM5" s="3919" t="s">
        <v>967</v>
      </c>
      <c r="FN5" s="3919" t="s">
        <v>968</v>
      </c>
      <c r="FO5" s="3919" t="s">
        <v>969</v>
      </c>
      <c r="FP5" s="3919" t="s">
        <v>970</v>
      </c>
      <c r="FQ5" s="3919" t="s">
        <v>971</v>
      </c>
      <c r="FR5" s="3919" t="s">
        <v>972</v>
      </c>
      <c r="FS5" s="3919" t="s">
        <v>973</v>
      </c>
      <c r="FT5" s="3919" t="s">
        <v>974</v>
      </c>
      <c r="FU5" s="3919" t="s">
        <v>975</v>
      </c>
      <c r="FV5" s="3919" t="s">
        <v>976</v>
      </c>
      <c r="FW5" s="3919" t="s">
        <v>977</v>
      </c>
      <c r="FX5" s="3919" t="s">
        <v>978</v>
      </c>
      <c r="FY5" s="3919" t="s">
        <v>979</v>
      </c>
      <c r="FZ5" s="3919" t="s">
        <v>980</v>
      </c>
      <c r="GA5" s="3919" t="s">
        <v>981</v>
      </c>
      <c r="GB5" s="3919" t="s">
        <v>982</v>
      </c>
      <c r="GC5" s="3919" t="s">
        <v>983</v>
      </c>
      <c r="GD5" s="3919" t="s">
        <v>984</v>
      </c>
      <c r="GE5" s="3919" t="s">
        <v>985</v>
      </c>
      <c r="GF5" s="3919" t="s">
        <v>986</v>
      </c>
      <c r="GG5" s="3919" t="s">
        <v>987</v>
      </c>
      <c r="GH5" s="3919" t="s">
        <v>988</v>
      </c>
      <c r="GI5" s="3919" t="s">
        <v>989</v>
      </c>
      <c r="GJ5" s="3919" t="s">
        <v>990</v>
      </c>
      <c r="GK5" s="3919" t="s">
        <v>991</v>
      </c>
      <c r="GL5" s="3919" t="s">
        <v>992</v>
      </c>
      <c r="GM5" s="3919" t="s">
        <v>993</v>
      </c>
      <c r="GN5" s="3919" t="s">
        <v>994</v>
      </c>
      <c r="GO5" s="3919" t="s">
        <v>995</v>
      </c>
      <c r="GP5" s="3919" t="s">
        <v>996</v>
      </c>
      <c r="GQ5" s="3919" t="s">
        <v>997</v>
      </c>
      <c r="GR5" s="3919" t="s">
        <v>998</v>
      </c>
      <c r="GS5" s="3919" t="s">
        <v>999</v>
      </c>
      <c r="GT5" s="3919" t="s">
        <v>1000</v>
      </c>
      <c r="GU5" s="3919" t="s">
        <v>1001</v>
      </c>
      <c r="GV5" s="3919" t="s">
        <v>1002</v>
      </c>
      <c r="GW5" s="3919" t="s">
        <v>1003</v>
      </c>
      <c r="GX5" s="3919" t="s">
        <v>1004</v>
      </c>
      <c r="GY5" s="3919" t="s">
        <v>1005</v>
      </c>
      <c r="GZ5" s="3919" t="s">
        <v>1006</v>
      </c>
      <c r="HA5" s="3919" t="s">
        <v>1007</v>
      </c>
      <c r="HB5" s="3919" t="s">
        <v>1008</v>
      </c>
      <c r="HC5" s="3919" t="s">
        <v>1009</v>
      </c>
      <c r="HD5" s="3919" t="s">
        <v>1010</v>
      </c>
      <c r="HE5" s="3919" t="s">
        <v>1011</v>
      </c>
      <c r="HF5" s="3919" t="s">
        <v>1012</v>
      </c>
      <c r="HG5" s="3919" t="s">
        <v>1013</v>
      </c>
      <c r="HH5" s="3919" t="s">
        <v>1014</v>
      </c>
      <c r="HI5" s="3919" t="s">
        <v>1015</v>
      </c>
      <c r="HJ5" s="3919" t="s">
        <v>1016</v>
      </c>
      <c r="HK5" s="3919" t="s">
        <v>1017</v>
      </c>
      <c r="HL5" s="3919" t="s">
        <v>1018</v>
      </c>
      <c r="HM5" s="3919" t="s">
        <v>1019</v>
      </c>
      <c r="HN5" s="3919" t="s">
        <v>1020</v>
      </c>
      <c r="HO5" s="3919" t="s">
        <v>1021</v>
      </c>
      <c r="HP5" s="3919" t="s">
        <v>1022</v>
      </c>
      <c r="HQ5" s="3919" t="s">
        <v>1023</v>
      </c>
      <c r="HR5" s="3919" t="s">
        <v>1024</v>
      </c>
      <c r="HS5" s="3919" t="s">
        <v>1025</v>
      </c>
      <c r="HT5" s="3919" t="s">
        <v>1026</v>
      </c>
      <c r="HU5" s="3919" t="s">
        <v>1027</v>
      </c>
      <c r="HV5" s="3919" t="s">
        <v>1028</v>
      </c>
      <c r="HW5" s="3919" t="s">
        <v>1029</v>
      </c>
      <c r="HX5" s="3919" t="s">
        <v>1030</v>
      </c>
      <c r="HY5" s="3919" t="s">
        <v>1031</v>
      </c>
      <c r="HZ5" s="3919" t="s">
        <v>1032</v>
      </c>
      <c r="IA5" s="3919" t="s">
        <v>1033</v>
      </c>
      <c r="IB5" s="3919" t="s">
        <v>1034</v>
      </c>
      <c r="IC5" s="3919" t="s">
        <v>1035</v>
      </c>
      <c r="ID5" s="3919" t="s">
        <v>1036</v>
      </c>
      <c r="IE5" s="3919" t="s">
        <v>1037</v>
      </c>
      <c r="IF5" s="3919" t="s">
        <v>1038</v>
      </c>
      <c r="IG5" s="3919" t="s">
        <v>1039</v>
      </c>
      <c r="IH5" s="3919" t="s">
        <v>1040</v>
      </c>
      <c r="II5" s="3919" t="s">
        <v>1041</v>
      </c>
      <c r="IJ5" s="3919" t="s">
        <v>1042</v>
      </c>
      <c r="IK5" s="3919" t="s">
        <v>1043</v>
      </c>
      <c r="IL5" s="3919" t="s">
        <v>1044</v>
      </c>
      <c r="IM5" s="3919" t="s">
        <v>1045</v>
      </c>
      <c r="IN5" s="3919" t="s">
        <v>1046</v>
      </c>
      <c r="IO5" s="3919" t="s">
        <v>1047</v>
      </c>
      <c r="IP5" s="3919" t="s">
        <v>1048</v>
      </c>
      <c r="IQ5" s="3919" t="s">
        <v>1049</v>
      </c>
      <c r="IR5" s="3919" t="s">
        <v>1050</v>
      </c>
      <c r="IS5" s="3919" t="s">
        <v>1051</v>
      </c>
      <c r="IT5" s="3919" t="s">
        <v>1052</v>
      </c>
      <c r="IU5" s="3919" t="s">
        <v>1053</v>
      </c>
      <c r="IV5" s="3919" t="s">
        <v>1054</v>
      </c>
      <c r="IW5" s="3919" t="s">
        <v>1055</v>
      </c>
      <c r="IX5" s="3919" t="s">
        <v>1056</v>
      </c>
      <c r="IY5" s="3919" t="s">
        <v>1057</v>
      </c>
      <c r="IZ5" s="3919" t="s">
        <v>1058</v>
      </c>
      <c r="JA5" s="3919" t="s">
        <v>1059</v>
      </c>
      <c r="JB5" s="3919" t="s">
        <v>1060</v>
      </c>
      <c r="JC5" s="3919" t="s">
        <v>1061</v>
      </c>
      <c r="JD5" s="3919" t="s">
        <v>1062</v>
      </c>
      <c r="JE5" s="3919" t="s">
        <v>1063</v>
      </c>
      <c r="JF5" s="3919" t="s">
        <v>1064</v>
      </c>
      <c r="JG5" s="3919" t="s">
        <v>1065</v>
      </c>
      <c r="JH5" s="3919" t="s">
        <v>1066</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919" t="s">
        <v>1067</v>
      </c>
      <c r="MQ5" s="3919" t="s">
        <v>1068</v>
      </c>
      <c r="MR5" s="3919" t="s">
        <v>1069</v>
      </c>
      <c r="MS5" s="3919" t="s">
        <v>1070</v>
      </c>
      <c r="MT5" s="3919" t="s">
        <v>1071</v>
      </c>
      <c r="MU5" s="3919" t="s">
        <v>1072</v>
      </c>
      <c r="MV5" s="3919" t="s">
        <v>1073</v>
      </c>
      <c r="MW5" s="3919" t="s">
        <v>1074</v>
      </c>
      <c r="MX5" s="3919" t="s">
        <v>1075</v>
      </c>
      <c r="MY5" s="3919" t="s">
        <v>1076</v>
      </c>
      <c r="MZ5" s="3919" t="s">
        <v>1077</v>
      </c>
      <c r="NA5" s="3919" t="s">
        <v>1078</v>
      </c>
      <c r="NB5" s="3919" t="s">
        <v>1079</v>
      </c>
      <c r="NC5" s="3919" t="s">
        <v>1080</v>
      </c>
      <c r="ND5" s="3919" t="s">
        <v>1081</v>
      </c>
      <c r="NE5" s="3919" t="s">
        <v>1082</v>
      </c>
      <c r="NF5" s="3919" t="s">
        <v>1083</v>
      </c>
      <c r="NG5" s="3919" t="s">
        <v>1084</v>
      </c>
      <c r="NH5" s="3919" t="s">
        <v>1085</v>
      </c>
      <c r="NI5" s="3919" t="s">
        <v>1086</v>
      </c>
      <c r="NJ5" s="3919" t="s">
        <v>1087</v>
      </c>
      <c r="NK5" s="3919" t="s">
        <v>1088</v>
      </c>
      <c r="NL5" s="3919" t="s">
        <v>1089</v>
      </c>
      <c r="NM5" s="3919" t="s">
        <v>1090</v>
      </c>
      <c r="NN5" s="3919" t="s">
        <v>1091</v>
      </c>
      <c r="NO5" s="3919"/>
      <c r="NP5" s="3919"/>
      <c r="NQ5" s="3919"/>
      <c r="NR5" s="3919"/>
      <c r="NS5" s="3919"/>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3977" t="str">
        <f>IF(A58&gt;0,"Finish Row!","")</f>
        <v/>
      </c>
      <c r="B6" s="92" t="s">
        <v>1092</v>
      </c>
      <c r="D6" s="1016"/>
      <c r="E6" s="1016"/>
      <c r="F6" s="1016"/>
      <c r="G6" s="2703" t="s">
        <v>1093</v>
      </c>
      <c r="H6" s="3978" t="s">
        <v>1094</v>
      </c>
      <c r="I6" s="3979"/>
      <c r="J6" s="3979"/>
      <c r="K6" s="501" t="s">
        <v>801</v>
      </c>
      <c r="L6" s="3980" t="str">
        <f>'Part I-Project Identification'!$A$6</f>
        <v>May XX, 2026</v>
      </c>
      <c r="M6" s="3980"/>
      <c r="N6" s="3980"/>
      <c r="O6" s="1164" t="s">
        <v>1095</v>
      </c>
      <c r="P6" s="1006">
        <v>79900</v>
      </c>
      <c r="Q6" s="3975"/>
      <c r="R6" s="2544"/>
      <c r="S6" s="43"/>
      <c r="U6" s="43"/>
      <c r="X6" s="3919"/>
      <c r="Y6" s="3919"/>
      <c r="Z6" s="3919"/>
      <c r="AA6" s="3919"/>
      <c r="AB6" s="3919"/>
      <c r="AC6" s="3919"/>
      <c r="AD6" s="3919"/>
      <c r="AE6" s="3919"/>
      <c r="AF6" s="3919"/>
      <c r="AG6" s="3919"/>
      <c r="AH6" s="3919"/>
      <c r="AI6" s="3919"/>
      <c r="AJ6" s="3919"/>
      <c r="AK6" s="3919"/>
      <c r="AL6" s="3919"/>
      <c r="AM6" s="3919"/>
      <c r="AN6" s="3919"/>
      <c r="AO6" s="3919"/>
      <c r="AP6" s="3919"/>
      <c r="AQ6" s="3919"/>
      <c r="AR6" s="3919"/>
      <c r="AS6" s="3919"/>
      <c r="AT6" s="3919"/>
      <c r="AU6" s="3919"/>
      <c r="AV6" s="3919"/>
      <c r="AW6" s="3919"/>
      <c r="AX6" s="3919"/>
      <c r="AY6" s="3919"/>
      <c r="AZ6" s="3919"/>
      <c r="BA6" s="3919"/>
      <c r="BB6" s="3919"/>
      <c r="BC6" s="3919"/>
      <c r="BD6" s="3919"/>
      <c r="BE6" s="3919"/>
      <c r="BF6" s="3919"/>
      <c r="BG6" s="3919"/>
      <c r="BH6" s="3919"/>
      <c r="BI6" s="3919"/>
      <c r="BJ6" s="3919"/>
      <c r="BK6" s="3919"/>
      <c r="BL6" s="3919"/>
      <c r="BM6" s="3919"/>
      <c r="BN6" s="3919"/>
      <c r="BO6" s="3919"/>
      <c r="BP6" s="3919"/>
      <c r="BQ6" s="3919"/>
      <c r="BR6" s="3919"/>
      <c r="BS6" s="3919"/>
      <c r="BT6" s="3919"/>
      <c r="BU6" s="3919"/>
      <c r="BV6" s="3919"/>
      <c r="BW6" s="3919"/>
      <c r="BX6" s="3919"/>
      <c r="BY6" s="3919"/>
      <c r="BZ6" s="3919"/>
      <c r="CA6" s="3919"/>
      <c r="CB6" s="3919"/>
      <c r="CC6" s="3919"/>
      <c r="CD6" s="3919"/>
      <c r="CE6" s="3919"/>
      <c r="CF6" s="3919"/>
      <c r="CG6" s="3919"/>
      <c r="CH6" s="3919"/>
      <c r="CI6" s="3919"/>
      <c r="CJ6" s="3919"/>
      <c r="CK6" s="3919"/>
      <c r="CL6" s="3919"/>
      <c r="CM6" s="3919"/>
      <c r="CN6" s="3919"/>
      <c r="CO6" s="3919"/>
      <c r="CP6" s="3919"/>
      <c r="CQ6" s="3919"/>
      <c r="CR6" s="3919"/>
      <c r="CS6" s="3919"/>
      <c r="CT6" s="3919"/>
      <c r="CU6" s="3919"/>
      <c r="CV6" s="3919"/>
      <c r="CW6" s="3919"/>
      <c r="CX6" s="3919"/>
      <c r="CY6" s="3919"/>
      <c r="CZ6" s="3919"/>
      <c r="DA6" s="3919"/>
      <c r="DB6" s="3919"/>
      <c r="DC6" s="3919"/>
      <c r="DD6" s="3919"/>
      <c r="DE6" s="3919"/>
      <c r="DF6" s="3919"/>
      <c r="DG6" s="3919"/>
      <c r="DH6" s="3919"/>
      <c r="DI6" s="3919"/>
      <c r="DJ6" s="3919"/>
      <c r="DK6" s="3919"/>
      <c r="DL6" s="3919"/>
      <c r="DM6" s="3919"/>
      <c r="DN6" s="3919"/>
      <c r="DO6" s="3919"/>
      <c r="DP6" s="3919"/>
      <c r="DQ6" s="3919"/>
      <c r="DR6" s="3919"/>
      <c r="DS6" s="3919"/>
      <c r="DT6" s="3919"/>
      <c r="DU6" s="3919"/>
      <c r="DV6" s="3919"/>
      <c r="DW6" s="3919"/>
      <c r="DX6" s="3919"/>
      <c r="DY6" s="3919"/>
      <c r="DZ6" s="3919"/>
      <c r="EA6" s="3919"/>
      <c r="EB6" s="3919"/>
      <c r="EC6" s="3919"/>
      <c r="ED6" s="3919"/>
      <c r="EE6" s="3919"/>
      <c r="EF6" s="3919"/>
      <c r="EG6" s="3919"/>
      <c r="EH6" s="3919"/>
      <c r="EI6" s="3919"/>
      <c r="EJ6" s="3919"/>
      <c r="EK6" s="3919"/>
      <c r="EL6" s="3919"/>
      <c r="EM6" s="3919"/>
      <c r="EN6" s="3919"/>
      <c r="EO6" s="3919"/>
      <c r="EP6" s="3919"/>
      <c r="EQ6" s="3919"/>
      <c r="ER6" s="3919"/>
      <c r="ES6" s="3919"/>
      <c r="ET6" s="3919"/>
      <c r="EU6" s="3919"/>
      <c r="EV6" s="3919"/>
      <c r="EW6" s="3919"/>
      <c r="EX6" s="3919"/>
      <c r="EY6" s="3919"/>
      <c r="EZ6" s="3919"/>
      <c r="FA6" s="3919"/>
      <c r="FB6" s="3919"/>
      <c r="FC6" s="3919"/>
      <c r="FD6" s="3919"/>
      <c r="FE6" s="3919"/>
      <c r="FF6" s="3919"/>
      <c r="FG6" s="3919"/>
      <c r="FH6" s="3919"/>
      <c r="FI6" s="3919"/>
      <c r="FJ6" s="3919"/>
      <c r="FK6" s="3919"/>
      <c r="FL6" s="3919"/>
      <c r="FM6" s="3919"/>
      <c r="FN6" s="3919"/>
      <c r="FO6" s="3919"/>
      <c r="FP6" s="3919"/>
      <c r="FQ6" s="3919"/>
      <c r="FR6" s="3919"/>
      <c r="FS6" s="3919"/>
      <c r="FT6" s="3919"/>
      <c r="FU6" s="3919"/>
      <c r="FV6" s="3919"/>
      <c r="FW6" s="3919"/>
      <c r="FX6" s="3919"/>
      <c r="FY6" s="3919"/>
      <c r="FZ6" s="3919"/>
      <c r="GA6" s="3919"/>
      <c r="GB6" s="3919"/>
      <c r="GC6" s="3919"/>
      <c r="GD6" s="3919"/>
      <c r="GE6" s="3919"/>
      <c r="GF6" s="3919"/>
      <c r="GG6" s="3919"/>
      <c r="GH6" s="3919"/>
      <c r="GI6" s="3919"/>
      <c r="GJ6" s="3919"/>
      <c r="GK6" s="3919"/>
      <c r="GL6" s="3919"/>
      <c r="GM6" s="3919"/>
      <c r="GN6" s="3919"/>
      <c r="GO6" s="3919"/>
      <c r="GP6" s="3919"/>
      <c r="GQ6" s="3919"/>
      <c r="GR6" s="3919"/>
      <c r="GS6" s="3919"/>
      <c r="GT6" s="3919"/>
      <c r="GU6" s="3919"/>
      <c r="GV6" s="3919"/>
      <c r="GW6" s="3919"/>
      <c r="GX6" s="3919"/>
      <c r="GY6" s="3919"/>
      <c r="GZ6" s="3919"/>
      <c r="HA6" s="3919"/>
      <c r="HB6" s="3919"/>
      <c r="HC6" s="3919"/>
      <c r="HD6" s="3919"/>
      <c r="HE6" s="3919"/>
      <c r="HF6" s="3919"/>
      <c r="HG6" s="3919"/>
      <c r="HH6" s="3919"/>
      <c r="HI6" s="3919"/>
      <c r="HJ6" s="3919"/>
      <c r="HK6" s="3919"/>
      <c r="HL6" s="3919"/>
      <c r="HM6" s="3919"/>
      <c r="HN6" s="3919"/>
      <c r="HO6" s="3919"/>
      <c r="HP6" s="3919"/>
      <c r="HQ6" s="3919"/>
      <c r="HR6" s="3919"/>
      <c r="HS6" s="3919"/>
      <c r="HT6" s="3919"/>
      <c r="HU6" s="3919"/>
      <c r="HV6" s="3919"/>
      <c r="HW6" s="3919"/>
      <c r="HX6" s="3919"/>
      <c r="HY6" s="3919"/>
      <c r="HZ6" s="3919"/>
      <c r="IA6" s="3919"/>
      <c r="IB6" s="3919"/>
      <c r="IC6" s="3919"/>
      <c r="ID6" s="3919"/>
      <c r="IE6" s="3919"/>
      <c r="IF6" s="3919"/>
      <c r="IG6" s="3919"/>
      <c r="IH6" s="3919"/>
      <c r="II6" s="3919"/>
      <c r="IJ6" s="3919"/>
      <c r="IK6" s="3919"/>
      <c r="IL6" s="3919"/>
      <c r="IM6" s="3919"/>
      <c r="IN6" s="3919"/>
      <c r="IO6" s="3919"/>
      <c r="IP6" s="3919"/>
      <c r="IQ6" s="3919"/>
      <c r="IR6" s="3919"/>
      <c r="IS6" s="3919"/>
      <c r="IT6" s="3919"/>
      <c r="IU6" s="3919"/>
      <c r="IV6" s="3919"/>
      <c r="IW6" s="3919"/>
      <c r="IX6" s="3919"/>
      <c r="IY6" s="3919"/>
      <c r="IZ6" s="3919"/>
      <c r="JA6" s="3919"/>
      <c r="JB6" s="3919"/>
      <c r="JC6" s="3919"/>
      <c r="JD6" s="3919"/>
      <c r="JE6" s="3919"/>
      <c r="JF6" s="3919"/>
      <c r="JG6" s="3919"/>
      <c r="JH6" s="3919"/>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919"/>
      <c r="MQ6" s="3919"/>
      <c r="MR6" s="3919"/>
      <c r="MS6" s="3919"/>
      <c r="MT6" s="3919"/>
      <c r="MU6" s="3919"/>
      <c r="MV6" s="3919"/>
      <c r="MW6" s="3919"/>
      <c r="MX6" s="3919"/>
      <c r="MY6" s="3919"/>
      <c r="MZ6" s="3919"/>
      <c r="NA6" s="3919"/>
      <c r="NB6" s="3919"/>
      <c r="NC6" s="3919"/>
      <c r="ND6" s="3919"/>
      <c r="NE6" s="3919"/>
      <c r="NF6" s="3919"/>
      <c r="NG6" s="3919"/>
      <c r="NH6" s="3919"/>
      <c r="NI6" s="3919"/>
      <c r="NJ6" s="3919"/>
      <c r="NK6" s="3919"/>
      <c r="NL6" s="3919"/>
      <c r="NM6" s="3919"/>
      <c r="NN6" s="3919"/>
      <c r="NO6" s="3919"/>
      <c r="NP6" s="3919"/>
      <c r="NQ6" s="3919"/>
      <c r="NR6" s="3919"/>
      <c r="NS6" s="3919"/>
      <c r="NT6" s="3925" t="s">
        <v>1096</v>
      </c>
      <c r="NU6" s="3925" t="s">
        <v>1097</v>
      </c>
      <c r="NV6" s="3925" t="s">
        <v>1098</v>
      </c>
      <c r="NW6" s="3925" t="s">
        <v>1099</v>
      </c>
      <c r="NX6" s="3925" t="s">
        <v>1100</v>
      </c>
      <c r="NY6" s="3919" t="s">
        <v>1101</v>
      </c>
      <c r="NZ6" s="3919" t="s">
        <v>1102</v>
      </c>
      <c r="OA6" s="3919" t="s">
        <v>1103</v>
      </c>
      <c r="OB6" s="3919" t="s">
        <v>1104</v>
      </c>
      <c r="OC6" s="3919" t="s">
        <v>1105</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3977"/>
      <c r="B7" s="2520" t="s">
        <v>1106</v>
      </c>
      <c r="E7" s="3"/>
      <c r="G7" s="870" t="s">
        <v>1093</v>
      </c>
      <c r="I7" s="3981" t="s">
        <v>1107</v>
      </c>
      <c r="J7" s="501" t="s">
        <v>766</v>
      </c>
      <c r="K7" s="501" t="s">
        <v>1108</v>
      </c>
      <c r="L7" s="3980"/>
      <c r="M7" s="3980"/>
      <c r="N7" s="3980"/>
      <c r="O7" s="1165" t="s">
        <v>1109</v>
      </c>
      <c r="P7" s="1031" t="s">
        <v>7672</v>
      </c>
      <c r="Q7" s="3975"/>
      <c r="R7" s="3983" t="s">
        <v>1110</v>
      </c>
      <c r="S7" s="3983"/>
      <c r="X7" s="3919"/>
      <c r="Y7" s="3919"/>
      <c r="Z7" s="3919"/>
      <c r="AA7" s="3919"/>
      <c r="AB7" s="3919"/>
      <c r="AC7" s="3919"/>
      <c r="AD7" s="3919"/>
      <c r="AE7" s="3919"/>
      <c r="AF7" s="3919"/>
      <c r="AG7" s="3919"/>
      <c r="AH7" s="3919"/>
      <c r="AI7" s="3919"/>
      <c r="AJ7" s="3919"/>
      <c r="AK7" s="3919"/>
      <c r="AL7" s="3919"/>
      <c r="AM7" s="3919"/>
      <c r="AN7" s="3919"/>
      <c r="AO7" s="3919"/>
      <c r="AP7" s="3919"/>
      <c r="AQ7" s="3919"/>
      <c r="AR7" s="3919"/>
      <c r="AS7" s="3919"/>
      <c r="AT7" s="3919"/>
      <c r="AU7" s="3919"/>
      <c r="AV7" s="3919"/>
      <c r="AW7" s="3919"/>
      <c r="AX7" s="3919"/>
      <c r="AY7" s="3919"/>
      <c r="AZ7" s="3919"/>
      <c r="BA7" s="3919"/>
      <c r="BB7" s="3919"/>
      <c r="BC7" s="3919"/>
      <c r="BD7" s="3919"/>
      <c r="BE7" s="3919"/>
      <c r="BF7" s="3919"/>
      <c r="BG7" s="3919"/>
      <c r="BH7" s="3919"/>
      <c r="BI7" s="3919"/>
      <c r="BJ7" s="3919"/>
      <c r="BK7" s="3919"/>
      <c r="BL7" s="3919"/>
      <c r="BM7" s="3919"/>
      <c r="BN7" s="3919"/>
      <c r="BO7" s="3919"/>
      <c r="BP7" s="3919"/>
      <c r="BQ7" s="3919"/>
      <c r="BR7" s="3919"/>
      <c r="BS7" s="3919"/>
      <c r="BT7" s="3919"/>
      <c r="BU7" s="3919"/>
      <c r="BV7" s="3919"/>
      <c r="BW7" s="3919"/>
      <c r="BX7" s="3919"/>
      <c r="BY7" s="3919"/>
      <c r="BZ7" s="3919"/>
      <c r="CA7" s="3919"/>
      <c r="CB7" s="3919"/>
      <c r="CC7" s="3919"/>
      <c r="CD7" s="3919"/>
      <c r="CE7" s="3919"/>
      <c r="CF7" s="3919"/>
      <c r="CG7" s="3919"/>
      <c r="CH7" s="3919"/>
      <c r="CI7" s="3919"/>
      <c r="CJ7" s="3919"/>
      <c r="CK7" s="3919"/>
      <c r="CL7" s="3919"/>
      <c r="CM7" s="3919"/>
      <c r="CN7" s="3919"/>
      <c r="CO7" s="3919"/>
      <c r="CP7" s="3919"/>
      <c r="CQ7" s="3919"/>
      <c r="CR7" s="3919"/>
      <c r="CS7" s="3919"/>
      <c r="CT7" s="3919"/>
      <c r="CU7" s="3919"/>
      <c r="CV7" s="3919"/>
      <c r="CW7" s="3919"/>
      <c r="CX7" s="3919"/>
      <c r="CY7" s="3919"/>
      <c r="CZ7" s="3919"/>
      <c r="DA7" s="3919"/>
      <c r="DB7" s="3919"/>
      <c r="DC7" s="3919"/>
      <c r="DD7" s="3919"/>
      <c r="DE7" s="3919"/>
      <c r="DF7" s="3919"/>
      <c r="DG7" s="3919"/>
      <c r="DH7" s="3919"/>
      <c r="DI7" s="3919"/>
      <c r="DJ7" s="3919"/>
      <c r="DK7" s="3919"/>
      <c r="DL7" s="3919"/>
      <c r="DM7" s="3919"/>
      <c r="DN7" s="3919"/>
      <c r="DO7" s="3919"/>
      <c r="DP7" s="3919"/>
      <c r="DQ7" s="3919"/>
      <c r="DR7" s="3919"/>
      <c r="DS7" s="3919"/>
      <c r="DT7" s="3919"/>
      <c r="DU7" s="3919"/>
      <c r="DV7" s="3919"/>
      <c r="DW7" s="3919"/>
      <c r="DX7" s="3919"/>
      <c r="DY7" s="3919"/>
      <c r="DZ7" s="3919"/>
      <c r="EA7" s="3919"/>
      <c r="EB7" s="3919"/>
      <c r="EC7" s="3919"/>
      <c r="ED7" s="3919"/>
      <c r="EE7" s="3919"/>
      <c r="EF7" s="3919"/>
      <c r="EG7" s="3919"/>
      <c r="EH7" s="3919"/>
      <c r="EI7" s="3919"/>
      <c r="EJ7" s="3919"/>
      <c r="EK7" s="3919"/>
      <c r="EL7" s="3919"/>
      <c r="EM7" s="3919"/>
      <c r="EN7" s="3919"/>
      <c r="EO7" s="3919"/>
      <c r="EP7" s="3919"/>
      <c r="EQ7" s="3919"/>
      <c r="ER7" s="3919"/>
      <c r="ES7" s="3919"/>
      <c r="ET7" s="3919"/>
      <c r="EU7" s="3919"/>
      <c r="EV7" s="3919"/>
      <c r="EW7" s="3919"/>
      <c r="EX7" s="3919"/>
      <c r="EY7" s="3919"/>
      <c r="EZ7" s="3919"/>
      <c r="FA7" s="3919"/>
      <c r="FB7" s="3919"/>
      <c r="FC7" s="3919"/>
      <c r="FD7" s="3919"/>
      <c r="FE7" s="3919"/>
      <c r="FF7" s="3919"/>
      <c r="FG7" s="3919"/>
      <c r="FH7" s="3919"/>
      <c r="FI7" s="3919"/>
      <c r="FJ7" s="3919"/>
      <c r="FK7" s="3919"/>
      <c r="FL7" s="3919"/>
      <c r="FM7" s="3919"/>
      <c r="FN7" s="3919"/>
      <c r="FO7" s="3919"/>
      <c r="FP7" s="3919"/>
      <c r="FQ7" s="3919"/>
      <c r="FR7" s="3919"/>
      <c r="FS7" s="3919"/>
      <c r="FT7" s="3919"/>
      <c r="FU7" s="3919"/>
      <c r="FV7" s="3919"/>
      <c r="FW7" s="3919"/>
      <c r="FX7" s="3919"/>
      <c r="FY7" s="3919"/>
      <c r="FZ7" s="3919"/>
      <c r="GA7" s="3919"/>
      <c r="GB7" s="3919"/>
      <c r="GC7" s="3919"/>
      <c r="GD7" s="3919"/>
      <c r="GE7" s="3919"/>
      <c r="GF7" s="3919"/>
      <c r="GG7" s="3919"/>
      <c r="GH7" s="3919"/>
      <c r="GI7" s="3919"/>
      <c r="GJ7" s="3919"/>
      <c r="GK7" s="3919"/>
      <c r="GL7" s="3919"/>
      <c r="GM7" s="3919"/>
      <c r="GN7" s="3919"/>
      <c r="GO7" s="3919"/>
      <c r="GP7" s="3919"/>
      <c r="GQ7" s="3919"/>
      <c r="GR7" s="3919"/>
      <c r="GS7" s="3919"/>
      <c r="GT7" s="3919"/>
      <c r="GU7" s="3919"/>
      <c r="GV7" s="3919"/>
      <c r="GW7" s="3919"/>
      <c r="GX7" s="3919"/>
      <c r="GY7" s="3919"/>
      <c r="GZ7" s="3919"/>
      <c r="HA7" s="3919"/>
      <c r="HB7" s="3919"/>
      <c r="HC7" s="3919"/>
      <c r="HD7" s="3919"/>
      <c r="HE7" s="3919"/>
      <c r="HF7" s="3919"/>
      <c r="HG7" s="3919"/>
      <c r="HH7" s="3919"/>
      <c r="HI7" s="3919"/>
      <c r="HJ7" s="3919"/>
      <c r="HK7" s="3919"/>
      <c r="HL7" s="3919"/>
      <c r="HM7" s="3919"/>
      <c r="HN7" s="3919"/>
      <c r="HO7" s="3919"/>
      <c r="HP7" s="3919"/>
      <c r="HQ7" s="3919"/>
      <c r="HR7" s="3919"/>
      <c r="HS7" s="3919"/>
      <c r="HT7" s="3919"/>
      <c r="HU7" s="3919"/>
      <c r="HV7" s="3919"/>
      <c r="HW7" s="3919"/>
      <c r="HX7" s="3919"/>
      <c r="HY7" s="3919"/>
      <c r="HZ7" s="3919"/>
      <c r="IA7" s="3919"/>
      <c r="IB7" s="3919"/>
      <c r="IC7" s="3919"/>
      <c r="ID7" s="3919"/>
      <c r="IE7" s="3919"/>
      <c r="IF7" s="3919"/>
      <c r="IG7" s="3919"/>
      <c r="IH7" s="3919"/>
      <c r="II7" s="3919"/>
      <c r="IJ7" s="3919"/>
      <c r="IK7" s="3919"/>
      <c r="IL7" s="3919"/>
      <c r="IM7" s="3919"/>
      <c r="IN7" s="3919"/>
      <c r="IO7" s="3919"/>
      <c r="IP7" s="3919"/>
      <c r="IQ7" s="3919"/>
      <c r="IR7" s="3919"/>
      <c r="IS7" s="3919"/>
      <c r="IT7" s="3919"/>
      <c r="IU7" s="3919"/>
      <c r="IV7" s="3919"/>
      <c r="IW7" s="3919"/>
      <c r="IX7" s="3919"/>
      <c r="IY7" s="3919"/>
      <c r="IZ7" s="3919"/>
      <c r="JA7" s="3919"/>
      <c r="JB7" s="3919"/>
      <c r="JC7" s="3919"/>
      <c r="JD7" s="3919"/>
      <c r="JE7" s="3919"/>
      <c r="JF7" s="3919"/>
      <c r="JG7" s="3919"/>
      <c r="JH7" s="3919"/>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919"/>
      <c r="MQ7" s="3919"/>
      <c r="MR7" s="3919"/>
      <c r="MS7" s="3919"/>
      <c r="MT7" s="3919"/>
      <c r="MU7" s="3919"/>
      <c r="MV7" s="3919"/>
      <c r="MW7" s="3919"/>
      <c r="MX7" s="3919"/>
      <c r="MY7" s="3919"/>
      <c r="MZ7" s="3919"/>
      <c r="NA7" s="3919"/>
      <c r="NB7" s="3919"/>
      <c r="NC7" s="3919"/>
      <c r="ND7" s="3919"/>
      <c r="NE7" s="3919"/>
      <c r="NF7" s="3919"/>
      <c r="NG7" s="3919"/>
      <c r="NH7" s="3919"/>
      <c r="NI7" s="3919"/>
      <c r="NJ7" s="3919"/>
      <c r="NK7" s="3919"/>
      <c r="NL7" s="3919"/>
      <c r="NM7" s="3919"/>
      <c r="NN7" s="3919"/>
      <c r="NO7" s="3919"/>
      <c r="NP7" s="3919"/>
      <c r="NQ7" s="3919"/>
      <c r="NR7" s="3919"/>
      <c r="NS7" s="3919"/>
      <c r="NT7" s="3925"/>
      <c r="NU7" s="3925"/>
      <c r="NV7" s="3925"/>
      <c r="NW7" s="3925"/>
      <c r="NX7" s="3925"/>
      <c r="NY7" s="3919"/>
      <c r="NZ7" s="3919"/>
      <c r="OA7" s="3919"/>
      <c r="OB7" s="3919"/>
      <c r="OC7" s="3919"/>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3977"/>
      <c r="B8" s="2541" t="s">
        <v>1111</v>
      </c>
      <c r="C8" s="43"/>
      <c r="E8" s="43"/>
      <c r="F8" s="43"/>
      <c r="I8" s="3981"/>
      <c r="J8" s="501" t="s">
        <v>1112</v>
      </c>
      <c r="K8" s="501" t="s">
        <v>1113</v>
      </c>
      <c r="L8" s="490"/>
      <c r="M8" s="490"/>
      <c r="N8" s="1163" t="s">
        <v>1114</v>
      </c>
      <c r="O8" s="3984" t="s">
        <v>7671</v>
      </c>
      <c r="P8" s="3985"/>
      <c r="Q8" s="3975"/>
      <c r="R8" s="491"/>
      <c r="S8" s="493" t="s">
        <v>1115</v>
      </c>
      <c r="T8" s="232"/>
      <c r="W8" s="233"/>
      <c r="X8" s="3919"/>
      <c r="Y8" s="3919"/>
      <c r="Z8" s="3919"/>
      <c r="AA8" s="3919"/>
      <c r="AB8" s="3919"/>
      <c r="AC8" s="3919"/>
      <c r="AD8" s="3919"/>
      <c r="AE8" s="3919"/>
      <c r="AF8" s="3919"/>
      <c r="AG8" s="3919"/>
      <c r="AH8" s="3919"/>
      <c r="AI8" s="3919"/>
      <c r="AJ8" s="3919"/>
      <c r="AK8" s="3919"/>
      <c r="AL8" s="3919"/>
      <c r="AM8" s="3919"/>
      <c r="AN8" s="3919"/>
      <c r="AO8" s="3919"/>
      <c r="AP8" s="3919"/>
      <c r="AQ8" s="3919"/>
      <c r="AR8" s="3919"/>
      <c r="AS8" s="3919"/>
      <c r="AT8" s="3919"/>
      <c r="AU8" s="3919"/>
      <c r="AV8" s="3919"/>
      <c r="AW8" s="3919"/>
      <c r="AX8" s="3919"/>
      <c r="AY8" s="3919"/>
      <c r="AZ8" s="3919"/>
      <c r="BA8" s="3919"/>
      <c r="BB8" s="3919"/>
      <c r="BC8" s="3919"/>
      <c r="BD8" s="3919"/>
      <c r="BE8" s="3919"/>
      <c r="BF8" s="3919"/>
      <c r="BG8" s="3919"/>
      <c r="BH8" s="3919"/>
      <c r="BI8" s="3919"/>
      <c r="BJ8" s="3919"/>
      <c r="BK8" s="3919"/>
      <c r="BL8" s="3919"/>
      <c r="BM8" s="3919"/>
      <c r="BN8" s="3919"/>
      <c r="BO8" s="3919"/>
      <c r="BP8" s="3919"/>
      <c r="BQ8" s="3919"/>
      <c r="BR8" s="3919"/>
      <c r="BS8" s="3919"/>
      <c r="BT8" s="3919"/>
      <c r="BU8" s="3919"/>
      <c r="BV8" s="3919"/>
      <c r="BW8" s="3919"/>
      <c r="BX8" s="3919"/>
      <c r="BY8" s="3919"/>
      <c r="BZ8" s="3919"/>
      <c r="CA8" s="3919"/>
      <c r="CB8" s="3919"/>
      <c r="CC8" s="3919"/>
      <c r="CD8" s="3919"/>
      <c r="CE8" s="3919"/>
      <c r="CF8" s="3919"/>
      <c r="CG8" s="3919"/>
      <c r="CH8" s="3919"/>
      <c r="CI8" s="3919"/>
      <c r="CJ8" s="3919"/>
      <c r="CK8" s="3919"/>
      <c r="CL8" s="3919"/>
      <c r="CM8" s="3919"/>
      <c r="CN8" s="3919"/>
      <c r="CO8" s="3919"/>
      <c r="CP8" s="3919"/>
      <c r="CQ8" s="3919"/>
      <c r="CR8" s="3919"/>
      <c r="CS8" s="3919"/>
      <c r="CT8" s="3919"/>
      <c r="CU8" s="3919"/>
      <c r="CV8" s="3919"/>
      <c r="CW8" s="3919"/>
      <c r="CX8" s="3919"/>
      <c r="CY8" s="3919"/>
      <c r="CZ8" s="3919"/>
      <c r="DA8" s="3919"/>
      <c r="DB8" s="3919"/>
      <c r="DC8" s="3919"/>
      <c r="DD8" s="3919"/>
      <c r="DE8" s="3919"/>
      <c r="DF8" s="3919"/>
      <c r="DG8" s="3919"/>
      <c r="DH8" s="3919"/>
      <c r="DI8" s="3919"/>
      <c r="DJ8" s="3919"/>
      <c r="DK8" s="3919"/>
      <c r="DL8" s="3919"/>
      <c r="DM8" s="3919"/>
      <c r="DN8" s="3919"/>
      <c r="DO8" s="3919"/>
      <c r="DP8" s="3919"/>
      <c r="DQ8" s="3919"/>
      <c r="DR8" s="3919"/>
      <c r="DS8" s="3919"/>
      <c r="DT8" s="3919"/>
      <c r="DU8" s="3919"/>
      <c r="DV8" s="3919"/>
      <c r="DW8" s="3919"/>
      <c r="DX8" s="3919"/>
      <c r="DY8" s="3919"/>
      <c r="DZ8" s="3919"/>
      <c r="EA8" s="3919"/>
      <c r="EB8" s="3919"/>
      <c r="EC8" s="3919"/>
      <c r="ED8" s="3919"/>
      <c r="EE8" s="3919"/>
      <c r="EF8" s="3919"/>
      <c r="EG8" s="3919"/>
      <c r="EH8" s="3919"/>
      <c r="EI8" s="3919"/>
      <c r="EJ8" s="3919"/>
      <c r="EK8" s="3919"/>
      <c r="EL8" s="3919"/>
      <c r="EM8" s="3919"/>
      <c r="EN8" s="3919"/>
      <c r="EO8" s="3919"/>
      <c r="EP8" s="3919"/>
      <c r="EQ8" s="3919"/>
      <c r="ER8" s="3919"/>
      <c r="ES8" s="3919"/>
      <c r="ET8" s="3919"/>
      <c r="EU8" s="3919"/>
      <c r="EV8" s="3919"/>
      <c r="EW8" s="3919"/>
      <c r="EX8" s="3919"/>
      <c r="EY8" s="3919"/>
      <c r="EZ8" s="3919"/>
      <c r="FA8" s="3919"/>
      <c r="FB8" s="3919"/>
      <c r="FC8" s="3919"/>
      <c r="FD8" s="3919"/>
      <c r="FE8" s="3919"/>
      <c r="FF8" s="3919"/>
      <c r="FG8" s="3919"/>
      <c r="FH8" s="3919"/>
      <c r="FI8" s="3919"/>
      <c r="FJ8" s="3919"/>
      <c r="FK8" s="3919"/>
      <c r="FL8" s="3919"/>
      <c r="FM8" s="3919"/>
      <c r="FN8" s="3919"/>
      <c r="FO8" s="3919"/>
      <c r="FP8" s="3919"/>
      <c r="FQ8" s="3919"/>
      <c r="FR8" s="3919"/>
      <c r="FS8" s="3919"/>
      <c r="FT8" s="3919"/>
      <c r="FU8" s="3919"/>
      <c r="FV8" s="3919"/>
      <c r="FW8" s="3919"/>
      <c r="FX8" s="3919"/>
      <c r="FY8" s="3919"/>
      <c r="FZ8" s="3919"/>
      <c r="GA8" s="3919"/>
      <c r="GB8" s="3919"/>
      <c r="GC8" s="3919"/>
      <c r="GD8" s="3919"/>
      <c r="GE8" s="3919"/>
      <c r="GF8" s="3919"/>
      <c r="GG8" s="3919"/>
      <c r="GH8" s="3919"/>
      <c r="GI8" s="3919"/>
      <c r="GJ8" s="3919"/>
      <c r="GK8" s="3919"/>
      <c r="GL8" s="3919"/>
      <c r="GM8" s="3919"/>
      <c r="GN8" s="3919"/>
      <c r="GO8" s="3919"/>
      <c r="GP8" s="3919"/>
      <c r="GQ8" s="3919"/>
      <c r="GR8" s="3919"/>
      <c r="GS8" s="3919"/>
      <c r="GT8" s="3919"/>
      <c r="GU8" s="3919"/>
      <c r="GV8" s="3919"/>
      <c r="GW8" s="3919"/>
      <c r="GX8" s="3919"/>
      <c r="GY8" s="3919"/>
      <c r="GZ8" s="3919"/>
      <c r="HA8" s="3919"/>
      <c r="HB8" s="3919"/>
      <c r="HC8" s="3919"/>
      <c r="HD8" s="3919"/>
      <c r="HE8" s="3919"/>
      <c r="HF8" s="3919"/>
      <c r="HG8" s="3919"/>
      <c r="HH8" s="3919"/>
      <c r="HI8" s="3919"/>
      <c r="HJ8" s="3919"/>
      <c r="HK8" s="3919"/>
      <c r="HL8" s="3919"/>
      <c r="HM8" s="3919"/>
      <c r="HN8" s="3919"/>
      <c r="HO8" s="3919"/>
      <c r="HP8" s="3919"/>
      <c r="HQ8" s="3919"/>
      <c r="HR8" s="3919"/>
      <c r="HS8" s="3919"/>
      <c r="HT8" s="3919"/>
      <c r="HU8" s="3919"/>
      <c r="HV8" s="3919"/>
      <c r="HW8" s="3919"/>
      <c r="HX8" s="3919"/>
      <c r="HY8" s="3919"/>
      <c r="HZ8" s="3919"/>
      <c r="IA8" s="3919"/>
      <c r="IB8" s="3919"/>
      <c r="IC8" s="3919"/>
      <c r="ID8" s="3919"/>
      <c r="IE8" s="3919"/>
      <c r="IF8" s="3919"/>
      <c r="IG8" s="3919"/>
      <c r="IH8" s="3919"/>
      <c r="II8" s="3919"/>
      <c r="IJ8" s="3919"/>
      <c r="IK8" s="3919"/>
      <c r="IL8" s="3919"/>
      <c r="IM8" s="3919"/>
      <c r="IN8" s="3919"/>
      <c r="IO8" s="3919"/>
      <c r="IP8" s="3919"/>
      <c r="IQ8" s="3919"/>
      <c r="IR8" s="3919"/>
      <c r="IS8" s="3919"/>
      <c r="IT8" s="3919"/>
      <c r="IU8" s="3919"/>
      <c r="IV8" s="3919"/>
      <c r="IW8" s="3919"/>
      <c r="IX8" s="3919"/>
      <c r="IY8" s="3919"/>
      <c r="IZ8" s="3919"/>
      <c r="JA8" s="3919"/>
      <c r="JB8" s="3919"/>
      <c r="JC8" s="3919"/>
      <c r="JD8" s="3919"/>
      <c r="JE8" s="3919"/>
      <c r="JF8" s="3919"/>
      <c r="JG8" s="3919"/>
      <c r="JH8" s="3919"/>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770</v>
      </c>
      <c r="KI8" s="1771" t="s">
        <v>812</v>
      </c>
      <c r="KJ8" s="1771" t="s">
        <v>813</v>
      </c>
      <c r="KK8" s="1771" t="s">
        <v>814</v>
      </c>
      <c r="KL8" s="1771" t="s">
        <v>815</v>
      </c>
      <c r="KM8" s="1771" t="s">
        <v>770</v>
      </c>
      <c r="KN8" s="1771" t="s">
        <v>812</v>
      </c>
      <c r="KO8" s="1771" t="s">
        <v>813</v>
      </c>
      <c r="KP8" s="1771" t="s">
        <v>814</v>
      </c>
      <c r="KQ8" s="1771" t="s">
        <v>815</v>
      </c>
      <c r="KR8" s="1771" t="s">
        <v>770</v>
      </c>
      <c r="KS8" s="1771" t="s">
        <v>812</v>
      </c>
      <c r="KT8" s="1771" t="s">
        <v>813</v>
      </c>
      <c r="KU8" s="1771" t="s">
        <v>814</v>
      </c>
      <c r="KV8" s="1771" t="s">
        <v>815</v>
      </c>
      <c r="KW8" s="1771" t="s">
        <v>770</v>
      </c>
      <c r="KX8" s="1771" t="s">
        <v>812</v>
      </c>
      <c r="KY8" s="1771" t="s">
        <v>813</v>
      </c>
      <c r="KZ8" s="1771" t="s">
        <v>814</v>
      </c>
      <c r="LA8" s="1771" t="s">
        <v>815</v>
      </c>
      <c r="LB8" s="1771" t="s">
        <v>770</v>
      </c>
      <c r="LC8" s="1771" t="s">
        <v>812</v>
      </c>
      <c r="LD8" s="1771" t="s">
        <v>813</v>
      </c>
      <c r="LE8" s="1771" t="s">
        <v>814</v>
      </c>
      <c r="LF8" s="1771" t="s">
        <v>815</v>
      </c>
      <c r="LG8" s="1771" t="s">
        <v>770</v>
      </c>
      <c r="LH8" s="1771" t="s">
        <v>812</v>
      </c>
      <c r="LI8" s="1771" t="s">
        <v>813</v>
      </c>
      <c r="LJ8" s="1771" t="s">
        <v>814</v>
      </c>
      <c r="LK8" s="1771" t="s">
        <v>815</v>
      </c>
      <c r="LL8" s="1771" t="s">
        <v>770</v>
      </c>
      <c r="LM8" s="1771" t="s">
        <v>812</v>
      </c>
      <c r="LN8" s="1771" t="s">
        <v>813</v>
      </c>
      <c r="LO8" s="1771" t="s">
        <v>814</v>
      </c>
      <c r="LP8" s="1771" t="s">
        <v>815</v>
      </c>
      <c r="LQ8" s="1771" t="s">
        <v>770</v>
      </c>
      <c r="LR8" s="1771" t="s">
        <v>812</v>
      </c>
      <c r="LS8" s="1771" t="s">
        <v>813</v>
      </c>
      <c r="LT8" s="1771" t="s">
        <v>814</v>
      </c>
      <c r="LU8" s="1771" t="s">
        <v>815</v>
      </c>
      <c r="LV8" s="1771" t="s">
        <v>770</v>
      </c>
      <c r="LW8" s="1771" t="s">
        <v>812</v>
      </c>
      <c r="LX8" s="1771" t="s">
        <v>813</v>
      </c>
      <c r="LY8" s="1771" t="s">
        <v>814</v>
      </c>
      <c r="LZ8" s="1771" t="s">
        <v>815</v>
      </c>
      <c r="MA8" s="1771" t="s">
        <v>770</v>
      </c>
      <c r="MB8" s="1771" t="s">
        <v>812</v>
      </c>
      <c r="MC8" s="1771" t="s">
        <v>813</v>
      </c>
      <c r="MD8" s="1771" t="s">
        <v>814</v>
      </c>
      <c r="ME8" s="1771" t="s">
        <v>815</v>
      </c>
      <c r="MF8" s="1771" t="s">
        <v>770</v>
      </c>
      <c r="MG8" s="1771" t="s">
        <v>812</v>
      </c>
      <c r="MH8" s="1771" t="s">
        <v>813</v>
      </c>
      <c r="MI8" s="1771" t="s">
        <v>814</v>
      </c>
      <c r="MJ8" s="1771" t="s">
        <v>815</v>
      </c>
      <c r="MK8" s="1771" t="s">
        <v>770</v>
      </c>
      <c r="ML8" s="1771" t="s">
        <v>812</v>
      </c>
      <c r="MM8" s="1771" t="s">
        <v>813</v>
      </c>
      <c r="MN8" s="1771" t="s">
        <v>814</v>
      </c>
      <c r="MO8" s="1771" t="s">
        <v>815</v>
      </c>
      <c r="MP8" s="3919"/>
      <c r="MQ8" s="3919"/>
      <c r="MR8" s="3919"/>
      <c r="MS8" s="3919"/>
      <c r="MT8" s="3919"/>
      <c r="MU8" s="3919"/>
      <c r="MV8" s="3919"/>
      <c r="MW8" s="3919"/>
      <c r="MX8" s="3919"/>
      <c r="MY8" s="3919"/>
      <c r="MZ8" s="3919"/>
      <c r="NA8" s="3919"/>
      <c r="NB8" s="3919"/>
      <c r="NC8" s="3919"/>
      <c r="ND8" s="3919"/>
      <c r="NE8" s="3919"/>
      <c r="NF8" s="3919"/>
      <c r="NG8" s="3919"/>
      <c r="NH8" s="3919"/>
      <c r="NI8" s="3919"/>
      <c r="NJ8" s="3919"/>
      <c r="NK8" s="3919"/>
      <c r="NL8" s="3919"/>
      <c r="NM8" s="3919"/>
      <c r="NN8" s="3919"/>
      <c r="NO8" s="3919"/>
      <c r="NP8" s="3919"/>
      <c r="NQ8" s="3919"/>
      <c r="NR8" s="3919"/>
      <c r="NS8" s="3919"/>
      <c r="NT8" s="3925"/>
      <c r="NU8" s="3925"/>
      <c r="NV8" s="3925"/>
      <c r="NW8" s="3925"/>
      <c r="NX8" s="3925"/>
      <c r="NY8" s="3919"/>
      <c r="NZ8" s="3919"/>
      <c r="OA8" s="3919"/>
      <c r="OB8" s="3919"/>
      <c r="OC8" s="3919"/>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977"/>
      <c r="B9" s="774" t="s">
        <v>1116</v>
      </c>
      <c r="C9" s="501" t="s">
        <v>1117</v>
      </c>
      <c r="D9" s="501" t="s">
        <v>1118</v>
      </c>
      <c r="E9" s="501" t="s">
        <v>1119</v>
      </c>
      <c r="F9" s="501" t="s">
        <v>1119</v>
      </c>
      <c r="G9" s="3981" t="s">
        <v>1120</v>
      </c>
      <c r="H9" s="2544" t="s">
        <v>1121</v>
      </c>
      <c r="I9" s="3981"/>
      <c r="J9" s="3986" t="s">
        <v>1122</v>
      </c>
      <c r="K9" s="501" t="s">
        <v>1123</v>
      </c>
      <c r="L9" s="3988" t="s">
        <v>1124</v>
      </c>
      <c r="M9" s="3989"/>
      <c r="N9" s="501" t="s">
        <v>1125</v>
      </c>
      <c r="O9" s="501" t="s">
        <v>1126</v>
      </c>
      <c r="P9" s="3990" t="s">
        <v>1127</v>
      </c>
      <c r="Q9" s="3975"/>
      <c r="R9" s="501" t="s">
        <v>1128</v>
      </c>
      <c r="S9" s="501" t="s">
        <v>1129</v>
      </c>
      <c r="T9" s="234"/>
      <c r="W9" s="235"/>
      <c r="X9" s="3919"/>
      <c r="Y9" s="3919"/>
      <c r="Z9" s="3919"/>
      <c r="AA9" s="3919"/>
      <c r="AB9" s="3919"/>
      <c r="AC9" s="3919"/>
      <c r="AD9" s="3919"/>
      <c r="AE9" s="3919"/>
      <c r="AF9" s="3919"/>
      <c r="AG9" s="3919"/>
      <c r="AH9" s="3919"/>
      <c r="AI9" s="3919"/>
      <c r="AJ9" s="3919"/>
      <c r="AK9" s="3919"/>
      <c r="AL9" s="3919"/>
      <c r="AM9" s="3919"/>
      <c r="AN9" s="3919"/>
      <c r="AO9" s="3919"/>
      <c r="AP9" s="3919"/>
      <c r="AQ9" s="3919"/>
      <c r="AR9" s="3919"/>
      <c r="AS9" s="3919"/>
      <c r="AT9" s="3919"/>
      <c r="AU9" s="3919"/>
      <c r="AV9" s="3919"/>
      <c r="AW9" s="3919"/>
      <c r="AX9" s="3919"/>
      <c r="AY9" s="3919"/>
      <c r="AZ9" s="3919"/>
      <c r="BA9" s="3919"/>
      <c r="BB9" s="3919"/>
      <c r="BC9" s="3919"/>
      <c r="BD9" s="3919"/>
      <c r="BE9" s="3919"/>
      <c r="BF9" s="3919"/>
      <c r="BG9" s="3919"/>
      <c r="BH9" s="3919"/>
      <c r="BI9" s="3919"/>
      <c r="BJ9" s="3919"/>
      <c r="BK9" s="3919"/>
      <c r="BL9" s="3919"/>
      <c r="BM9" s="3919"/>
      <c r="BN9" s="3919"/>
      <c r="BO9" s="3919"/>
      <c r="BP9" s="3919"/>
      <c r="BQ9" s="3919"/>
      <c r="BR9" s="3919"/>
      <c r="BS9" s="3919"/>
      <c r="BT9" s="3919"/>
      <c r="BU9" s="3919"/>
      <c r="BV9" s="3919"/>
      <c r="BW9" s="3919"/>
      <c r="BX9" s="3919"/>
      <c r="BY9" s="3919"/>
      <c r="BZ9" s="3919"/>
      <c r="CA9" s="3919"/>
      <c r="CB9" s="3919"/>
      <c r="CC9" s="3919"/>
      <c r="CD9" s="3919"/>
      <c r="CE9" s="3919"/>
      <c r="CF9" s="3919"/>
      <c r="CG9" s="3919"/>
      <c r="CH9" s="3919"/>
      <c r="CI9" s="3919"/>
      <c r="CJ9" s="3919"/>
      <c r="CK9" s="3919"/>
      <c r="CL9" s="3919"/>
      <c r="CM9" s="3919"/>
      <c r="CN9" s="3919"/>
      <c r="CO9" s="3919"/>
      <c r="CP9" s="3919"/>
      <c r="CQ9" s="3919"/>
      <c r="CR9" s="3919"/>
      <c r="CS9" s="3919"/>
      <c r="CT9" s="3919"/>
      <c r="CU9" s="3919"/>
      <c r="CV9" s="3919"/>
      <c r="CW9" s="3919"/>
      <c r="CX9" s="3919"/>
      <c r="CY9" s="3919"/>
      <c r="CZ9" s="3919"/>
      <c r="DA9" s="3919"/>
      <c r="DB9" s="3919"/>
      <c r="DC9" s="3919"/>
      <c r="DD9" s="3919"/>
      <c r="DE9" s="3919"/>
      <c r="DF9" s="3919"/>
      <c r="DG9" s="3919"/>
      <c r="DH9" s="3919"/>
      <c r="DI9" s="3919"/>
      <c r="DJ9" s="3919"/>
      <c r="DK9" s="3919"/>
      <c r="DL9" s="3919"/>
      <c r="DM9" s="3919"/>
      <c r="DN9" s="3919"/>
      <c r="DO9" s="3919"/>
      <c r="DP9" s="3919"/>
      <c r="DQ9" s="3919"/>
      <c r="DR9" s="3919"/>
      <c r="DS9" s="3919"/>
      <c r="DT9" s="3919"/>
      <c r="DU9" s="3919"/>
      <c r="DV9" s="3919"/>
      <c r="DW9" s="3919"/>
      <c r="DX9" s="3919"/>
      <c r="DY9" s="3919"/>
      <c r="DZ9" s="3919"/>
      <c r="EA9" s="3919"/>
      <c r="EB9" s="3919"/>
      <c r="EC9" s="3919"/>
      <c r="ED9" s="3919"/>
      <c r="EE9" s="3919"/>
      <c r="EF9" s="3919"/>
      <c r="EG9" s="3919"/>
      <c r="EH9" s="3919"/>
      <c r="EI9" s="3919"/>
      <c r="EJ9" s="3919"/>
      <c r="EK9" s="3919"/>
      <c r="EL9" s="3919"/>
      <c r="EM9" s="3919"/>
      <c r="EN9" s="3919"/>
      <c r="EO9" s="3919"/>
      <c r="EP9" s="3919"/>
      <c r="EQ9" s="3919"/>
      <c r="ER9" s="3919"/>
      <c r="ES9" s="3919"/>
      <c r="ET9" s="3919"/>
      <c r="EU9" s="3919"/>
      <c r="EV9" s="3919"/>
      <c r="EW9" s="3919"/>
      <c r="EX9" s="3919"/>
      <c r="EY9" s="3919"/>
      <c r="EZ9" s="3919"/>
      <c r="FA9" s="3919"/>
      <c r="FB9" s="3919"/>
      <c r="FC9" s="3919"/>
      <c r="FD9" s="3919"/>
      <c r="FE9" s="3919"/>
      <c r="FF9" s="3919"/>
      <c r="FG9" s="3919"/>
      <c r="FH9" s="3919"/>
      <c r="FI9" s="3919"/>
      <c r="FJ9" s="3919"/>
      <c r="FK9" s="3919"/>
      <c r="FL9" s="3919"/>
      <c r="FM9" s="3919"/>
      <c r="FN9" s="3919"/>
      <c r="FO9" s="3919"/>
      <c r="FP9" s="3919"/>
      <c r="FQ9" s="3919"/>
      <c r="FR9" s="3919"/>
      <c r="FS9" s="3919"/>
      <c r="FT9" s="3919"/>
      <c r="FU9" s="3919"/>
      <c r="FV9" s="3919"/>
      <c r="FW9" s="3919"/>
      <c r="FX9" s="3919"/>
      <c r="FY9" s="3919"/>
      <c r="FZ9" s="3919"/>
      <c r="GA9" s="3919"/>
      <c r="GB9" s="3919"/>
      <c r="GC9" s="3919"/>
      <c r="GD9" s="3919"/>
      <c r="GE9" s="3919"/>
      <c r="GF9" s="3919"/>
      <c r="GG9" s="3919"/>
      <c r="GH9" s="3919"/>
      <c r="GI9" s="3919"/>
      <c r="GJ9" s="3919"/>
      <c r="GK9" s="3919"/>
      <c r="GL9" s="3919"/>
      <c r="GM9" s="3919"/>
      <c r="GN9" s="3919"/>
      <c r="GO9" s="3919"/>
      <c r="GP9" s="3919"/>
      <c r="GQ9" s="3919"/>
      <c r="GR9" s="3919"/>
      <c r="GS9" s="3919"/>
      <c r="GT9" s="3919"/>
      <c r="GU9" s="3919"/>
      <c r="GV9" s="3919"/>
      <c r="GW9" s="3919"/>
      <c r="GX9" s="3919"/>
      <c r="GY9" s="3919"/>
      <c r="GZ9" s="3919"/>
      <c r="HA9" s="3919"/>
      <c r="HB9" s="3919"/>
      <c r="HC9" s="3919"/>
      <c r="HD9" s="3919"/>
      <c r="HE9" s="3919"/>
      <c r="HF9" s="3919"/>
      <c r="HG9" s="3919"/>
      <c r="HH9" s="3919"/>
      <c r="HI9" s="3919"/>
      <c r="HJ9" s="3919"/>
      <c r="HK9" s="3919"/>
      <c r="HL9" s="3919"/>
      <c r="HM9" s="3919"/>
      <c r="HN9" s="3919"/>
      <c r="HO9" s="3919"/>
      <c r="HP9" s="3919"/>
      <c r="HQ9" s="3919"/>
      <c r="HR9" s="3919"/>
      <c r="HS9" s="3919"/>
      <c r="HT9" s="3919"/>
      <c r="HU9" s="3919"/>
      <c r="HV9" s="3919"/>
      <c r="HW9" s="3919"/>
      <c r="HX9" s="3919"/>
      <c r="HY9" s="3919"/>
      <c r="HZ9" s="3919"/>
      <c r="IA9" s="3919"/>
      <c r="IB9" s="3919"/>
      <c r="IC9" s="3919"/>
      <c r="ID9" s="3919"/>
      <c r="IE9" s="3919"/>
      <c r="IF9" s="3919"/>
      <c r="IG9" s="3919"/>
      <c r="IH9" s="3919"/>
      <c r="II9" s="3919"/>
      <c r="IJ9" s="3919"/>
      <c r="IK9" s="3919"/>
      <c r="IL9" s="3919"/>
      <c r="IM9" s="3919"/>
      <c r="IN9" s="3919"/>
      <c r="IO9" s="3919"/>
      <c r="IP9" s="3919"/>
      <c r="IQ9" s="3919"/>
      <c r="IR9" s="3919"/>
      <c r="IS9" s="3919"/>
      <c r="IT9" s="3919"/>
      <c r="IU9" s="3919"/>
      <c r="IV9" s="3919"/>
      <c r="IW9" s="3919"/>
      <c r="IX9" s="3919"/>
      <c r="IY9" s="3919"/>
      <c r="IZ9" s="3919"/>
      <c r="JA9" s="3919"/>
      <c r="JB9" s="3919"/>
      <c r="JC9" s="3919"/>
      <c r="JD9" s="3919"/>
      <c r="JE9" s="3919"/>
      <c r="JF9" s="3919"/>
      <c r="JG9" s="3919"/>
      <c r="JH9" s="3919"/>
      <c r="JI9" s="3919" t="s">
        <v>1130</v>
      </c>
      <c r="JJ9" s="1771" t="s">
        <v>812</v>
      </c>
      <c r="JK9" s="1771" t="s">
        <v>813</v>
      </c>
      <c r="JL9" s="1771" t="s">
        <v>814</v>
      </c>
      <c r="JM9" s="1771" t="s">
        <v>815</v>
      </c>
      <c r="JN9" s="3919" t="s">
        <v>1131</v>
      </c>
      <c r="JO9" s="3919" t="s">
        <v>1131</v>
      </c>
      <c r="JP9" s="3919" t="s">
        <v>1131</v>
      </c>
      <c r="JQ9" s="3919" t="s">
        <v>1131</v>
      </c>
      <c r="JR9" s="3919" t="s">
        <v>1131</v>
      </c>
      <c r="JS9" s="3919" t="s">
        <v>1132</v>
      </c>
      <c r="JT9" s="3919" t="s">
        <v>1132</v>
      </c>
      <c r="JU9" s="3919" t="s">
        <v>1132</v>
      </c>
      <c r="JV9" s="3919" t="s">
        <v>1132</v>
      </c>
      <c r="JW9" s="3919" t="s">
        <v>1132</v>
      </c>
      <c r="JX9" s="1771" t="s">
        <v>770</v>
      </c>
      <c r="JY9" s="1771" t="s">
        <v>812</v>
      </c>
      <c r="JZ9" s="1771" t="s">
        <v>813</v>
      </c>
      <c r="KA9" s="1771" t="s">
        <v>814</v>
      </c>
      <c r="KB9" s="1771" t="s">
        <v>815</v>
      </c>
      <c r="KC9" s="1771" t="s">
        <v>770</v>
      </c>
      <c r="KD9" s="1771" t="s">
        <v>812</v>
      </c>
      <c r="KE9" s="1771" t="s">
        <v>813</v>
      </c>
      <c r="KF9" s="1771" t="s">
        <v>814</v>
      </c>
      <c r="KG9" s="1771" t="s">
        <v>815</v>
      </c>
      <c r="KH9" s="3919" t="s">
        <v>1133</v>
      </c>
      <c r="KI9" s="3919" t="s">
        <v>1133</v>
      </c>
      <c r="KJ9" s="3919" t="s">
        <v>1133</v>
      </c>
      <c r="KK9" s="3919" t="s">
        <v>1133</v>
      </c>
      <c r="KL9" s="3919" t="s">
        <v>1133</v>
      </c>
      <c r="KM9" s="3919" t="s">
        <v>1134</v>
      </c>
      <c r="KN9" s="3919" t="s">
        <v>1134</v>
      </c>
      <c r="KO9" s="3919" t="s">
        <v>1134</v>
      </c>
      <c r="KP9" s="3919" t="s">
        <v>1134</v>
      </c>
      <c r="KQ9" s="3919" t="s">
        <v>1134</v>
      </c>
      <c r="KR9" s="3919" t="s">
        <v>1135</v>
      </c>
      <c r="KS9" s="3919" t="s">
        <v>1135</v>
      </c>
      <c r="KT9" s="3919" t="s">
        <v>1135</v>
      </c>
      <c r="KU9" s="3919" t="s">
        <v>1135</v>
      </c>
      <c r="KV9" s="3919" t="s">
        <v>1135</v>
      </c>
      <c r="KW9" s="3919" t="s">
        <v>1136</v>
      </c>
      <c r="KX9" s="3919" t="s">
        <v>1136</v>
      </c>
      <c r="KY9" s="3919" t="s">
        <v>1136</v>
      </c>
      <c r="KZ9" s="3919" t="s">
        <v>1136</v>
      </c>
      <c r="LA9" s="3919" t="s">
        <v>1136</v>
      </c>
      <c r="LB9" s="3919" t="s">
        <v>1137</v>
      </c>
      <c r="LC9" s="3919" t="s">
        <v>1137</v>
      </c>
      <c r="LD9" s="3919" t="s">
        <v>1137</v>
      </c>
      <c r="LE9" s="3919" t="s">
        <v>1137</v>
      </c>
      <c r="LF9" s="3919" t="s">
        <v>1137</v>
      </c>
      <c r="LG9" s="3919" t="s">
        <v>1138</v>
      </c>
      <c r="LH9" s="3919" t="s">
        <v>1138</v>
      </c>
      <c r="LI9" s="3919" t="s">
        <v>1138</v>
      </c>
      <c r="LJ9" s="3919" t="s">
        <v>1138</v>
      </c>
      <c r="LK9" s="3919" t="s">
        <v>1138</v>
      </c>
      <c r="LL9" s="3919" t="s">
        <v>1139</v>
      </c>
      <c r="LM9" s="3919" t="s">
        <v>1139</v>
      </c>
      <c r="LN9" s="3919" t="s">
        <v>1139</v>
      </c>
      <c r="LO9" s="3919" t="s">
        <v>1139</v>
      </c>
      <c r="LP9" s="3919" t="s">
        <v>1139</v>
      </c>
      <c r="LQ9" s="3919" t="s">
        <v>1140</v>
      </c>
      <c r="LR9" s="3919" t="s">
        <v>1140</v>
      </c>
      <c r="LS9" s="3919" t="s">
        <v>1140</v>
      </c>
      <c r="LT9" s="3919" t="s">
        <v>1140</v>
      </c>
      <c r="LU9" s="3919" t="s">
        <v>1140</v>
      </c>
      <c r="LV9" s="3919" t="s">
        <v>1141</v>
      </c>
      <c r="LW9" s="3919" t="s">
        <v>1141</v>
      </c>
      <c r="LX9" s="3919" t="s">
        <v>1141</v>
      </c>
      <c r="LY9" s="3919" t="s">
        <v>1141</v>
      </c>
      <c r="LZ9" s="3919" t="s">
        <v>1141</v>
      </c>
      <c r="MA9" s="3919" t="s">
        <v>1142</v>
      </c>
      <c r="MB9" s="3919" t="s">
        <v>1142</v>
      </c>
      <c r="MC9" s="3919" t="s">
        <v>1142</v>
      </c>
      <c r="MD9" s="3919" t="s">
        <v>1142</v>
      </c>
      <c r="ME9" s="3919" t="s">
        <v>1142</v>
      </c>
      <c r="MF9" s="3919" t="s">
        <v>1143</v>
      </c>
      <c r="MG9" s="3919" t="s">
        <v>1143</v>
      </c>
      <c r="MH9" s="3919" t="s">
        <v>1143</v>
      </c>
      <c r="MI9" s="3919" t="s">
        <v>1143</v>
      </c>
      <c r="MJ9" s="3919" t="s">
        <v>1143</v>
      </c>
      <c r="MK9" s="3919" t="s">
        <v>1144</v>
      </c>
      <c r="ML9" s="3919" t="s">
        <v>1144</v>
      </c>
      <c r="MM9" s="3919" t="s">
        <v>1144</v>
      </c>
      <c r="MN9" s="3919" t="s">
        <v>1144</v>
      </c>
      <c r="MO9" s="3919" t="s">
        <v>1144</v>
      </c>
      <c r="MP9" s="3919"/>
      <c r="MQ9" s="3919"/>
      <c r="MR9" s="3919"/>
      <c r="MS9" s="3919"/>
      <c r="MT9" s="3919"/>
      <c r="MU9" s="3919"/>
      <c r="MV9" s="3919"/>
      <c r="MW9" s="3919"/>
      <c r="MX9" s="3919"/>
      <c r="MY9" s="3919"/>
      <c r="MZ9" s="3919"/>
      <c r="NA9" s="3919"/>
      <c r="NB9" s="3919"/>
      <c r="NC9" s="3919"/>
      <c r="ND9" s="3919"/>
      <c r="NE9" s="3919"/>
      <c r="NF9" s="3919"/>
      <c r="NG9" s="3919"/>
      <c r="NH9" s="3919"/>
      <c r="NI9" s="3919"/>
      <c r="NJ9" s="3919"/>
      <c r="NK9" s="3919"/>
      <c r="NL9" s="3919"/>
      <c r="NM9" s="3919"/>
      <c r="NN9" s="3919"/>
      <c r="NO9" s="3919"/>
      <c r="NP9" s="3919"/>
      <c r="NQ9" s="3919"/>
      <c r="NR9" s="3919"/>
      <c r="NS9" s="3919"/>
      <c r="NT9" s="3925"/>
      <c r="NU9" s="3925"/>
      <c r="NV9" s="3925"/>
      <c r="NW9" s="3925"/>
      <c r="NX9" s="3925"/>
      <c r="NY9" s="3919"/>
      <c r="NZ9" s="3919"/>
      <c r="OA9" s="3919"/>
      <c r="OB9" s="3919"/>
      <c r="OC9" s="3919"/>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977"/>
      <c r="B10" s="868" t="s">
        <v>1145</v>
      </c>
      <c r="C10" s="501" t="s">
        <v>793</v>
      </c>
      <c r="D10" s="501" t="s">
        <v>794</v>
      </c>
      <c r="E10" s="501" t="s">
        <v>1146</v>
      </c>
      <c r="F10" s="501" t="s">
        <v>1147</v>
      </c>
      <c r="G10" s="3982"/>
      <c r="H10" s="501" t="s">
        <v>1148</v>
      </c>
      <c r="I10" s="3982"/>
      <c r="J10" s="3987"/>
      <c r="K10" s="252" t="s">
        <v>1149</v>
      </c>
      <c r="L10" s="501" t="s">
        <v>679</v>
      </c>
      <c r="M10" s="501" t="s">
        <v>287</v>
      </c>
      <c r="N10" s="501" t="s">
        <v>1119</v>
      </c>
      <c r="O10" s="501" t="s">
        <v>1150</v>
      </c>
      <c r="P10" s="3991"/>
      <c r="Q10" s="3976"/>
      <c r="R10" s="501" t="s">
        <v>1151</v>
      </c>
      <c r="S10" s="501" t="s">
        <v>1152</v>
      </c>
      <c r="T10" s="6" t="s">
        <v>791</v>
      </c>
      <c r="W10" s="6"/>
      <c r="X10" s="3919"/>
      <c r="Y10" s="3919"/>
      <c r="Z10" s="3919"/>
      <c r="AA10" s="3919"/>
      <c r="AB10" s="3919"/>
      <c r="AC10" s="3919"/>
      <c r="AD10" s="3919"/>
      <c r="AE10" s="3919"/>
      <c r="AF10" s="3919"/>
      <c r="AG10" s="3919"/>
      <c r="AH10" s="3919"/>
      <c r="AI10" s="3919"/>
      <c r="AJ10" s="3919"/>
      <c r="AK10" s="3919"/>
      <c r="AL10" s="3919"/>
      <c r="AM10" s="3919"/>
      <c r="AN10" s="3919"/>
      <c r="AO10" s="3919"/>
      <c r="AP10" s="3919"/>
      <c r="AQ10" s="3919"/>
      <c r="AR10" s="3919"/>
      <c r="AS10" s="3919"/>
      <c r="AT10" s="3919"/>
      <c r="AU10" s="3919"/>
      <c r="AV10" s="3919"/>
      <c r="AW10" s="3919"/>
      <c r="AX10" s="3919"/>
      <c r="AY10" s="3919"/>
      <c r="AZ10" s="3919"/>
      <c r="BA10" s="3919"/>
      <c r="BB10" s="3919"/>
      <c r="BC10" s="3919"/>
      <c r="BD10" s="3919"/>
      <c r="BE10" s="3919"/>
      <c r="BF10" s="3919"/>
      <c r="BG10" s="3919"/>
      <c r="BH10" s="3919"/>
      <c r="BI10" s="3919"/>
      <c r="BJ10" s="3919"/>
      <c r="BK10" s="3919"/>
      <c r="BL10" s="3919"/>
      <c r="BM10" s="3919"/>
      <c r="BN10" s="3919"/>
      <c r="BO10" s="3919"/>
      <c r="BP10" s="3919"/>
      <c r="BQ10" s="3919"/>
      <c r="BR10" s="3919"/>
      <c r="BS10" s="3919"/>
      <c r="BT10" s="3919"/>
      <c r="BU10" s="3919"/>
      <c r="BV10" s="3919"/>
      <c r="BW10" s="3919"/>
      <c r="BX10" s="3919"/>
      <c r="BY10" s="3919"/>
      <c r="BZ10" s="3919"/>
      <c r="CA10" s="3919"/>
      <c r="CB10" s="3919"/>
      <c r="CC10" s="3919"/>
      <c r="CD10" s="3919"/>
      <c r="CE10" s="3919"/>
      <c r="CF10" s="3919"/>
      <c r="CG10" s="3919"/>
      <c r="CH10" s="3919"/>
      <c r="CI10" s="3919"/>
      <c r="CJ10" s="3919"/>
      <c r="CK10" s="3919"/>
      <c r="CL10" s="3919"/>
      <c r="CM10" s="3919"/>
      <c r="CN10" s="3919"/>
      <c r="CO10" s="3919"/>
      <c r="CP10" s="3919"/>
      <c r="CQ10" s="3919"/>
      <c r="CR10" s="3919"/>
      <c r="CS10" s="3919"/>
      <c r="CT10" s="3919"/>
      <c r="CU10" s="3919"/>
      <c r="CV10" s="3919"/>
      <c r="CW10" s="3919"/>
      <c r="CX10" s="3919"/>
      <c r="CY10" s="3919"/>
      <c r="CZ10" s="3919"/>
      <c r="DA10" s="3919"/>
      <c r="DB10" s="3919"/>
      <c r="DC10" s="3919"/>
      <c r="DD10" s="3919"/>
      <c r="DE10" s="3919"/>
      <c r="DF10" s="3919"/>
      <c r="DG10" s="3919"/>
      <c r="DH10" s="3919"/>
      <c r="DI10" s="3919"/>
      <c r="DJ10" s="3919"/>
      <c r="DK10" s="3919"/>
      <c r="DL10" s="3919"/>
      <c r="DM10" s="3919"/>
      <c r="DN10" s="3919"/>
      <c r="DO10" s="3919"/>
      <c r="DP10" s="3919"/>
      <c r="DQ10" s="3919"/>
      <c r="DR10" s="3919"/>
      <c r="DS10" s="3919"/>
      <c r="DT10" s="3919"/>
      <c r="DU10" s="3919"/>
      <c r="DV10" s="3919"/>
      <c r="DW10" s="3919"/>
      <c r="DX10" s="3919"/>
      <c r="DY10" s="3919"/>
      <c r="DZ10" s="3919"/>
      <c r="EA10" s="3919"/>
      <c r="EB10" s="3919"/>
      <c r="EC10" s="3919"/>
      <c r="ED10" s="3919"/>
      <c r="EE10" s="3919"/>
      <c r="EF10" s="3919"/>
      <c r="EG10" s="3919"/>
      <c r="EH10" s="3919"/>
      <c r="EI10" s="3919"/>
      <c r="EJ10" s="3919"/>
      <c r="EK10" s="3919"/>
      <c r="EL10" s="3919"/>
      <c r="EM10" s="3919"/>
      <c r="EN10" s="3919"/>
      <c r="EO10" s="3919"/>
      <c r="EP10" s="3919"/>
      <c r="EQ10" s="3919"/>
      <c r="ER10" s="3919"/>
      <c r="ES10" s="3919"/>
      <c r="ET10" s="3919"/>
      <c r="EU10" s="3919"/>
      <c r="EV10" s="3919"/>
      <c r="EW10" s="3919"/>
      <c r="EX10" s="3919"/>
      <c r="EY10" s="3919"/>
      <c r="EZ10" s="3919"/>
      <c r="FA10" s="3919"/>
      <c r="FB10" s="3919"/>
      <c r="FC10" s="3919"/>
      <c r="FD10" s="3919"/>
      <c r="FE10" s="3919"/>
      <c r="FF10" s="3919"/>
      <c r="FG10" s="3919"/>
      <c r="FH10" s="3919"/>
      <c r="FI10" s="3919"/>
      <c r="FJ10" s="3919"/>
      <c r="FK10" s="3919"/>
      <c r="FL10" s="3919"/>
      <c r="FM10" s="3919"/>
      <c r="FN10" s="3919"/>
      <c r="FO10" s="3919"/>
      <c r="FP10" s="3919"/>
      <c r="FQ10" s="3919"/>
      <c r="FR10" s="3919"/>
      <c r="FS10" s="3919"/>
      <c r="FT10" s="3919"/>
      <c r="FU10" s="3919"/>
      <c r="FV10" s="3919"/>
      <c r="FW10" s="3919"/>
      <c r="FX10" s="3919"/>
      <c r="FY10" s="3919"/>
      <c r="FZ10" s="3919"/>
      <c r="GA10" s="3919"/>
      <c r="GB10" s="3919"/>
      <c r="GC10" s="3919"/>
      <c r="GD10" s="3919"/>
      <c r="GE10" s="3919"/>
      <c r="GF10" s="3919"/>
      <c r="GG10" s="3919"/>
      <c r="GH10" s="3919"/>
      <c r="GI10" s="3919"/>
      <c r="GJ10" s="3919"/>
      <c r="GK10" s="3919"/>
      <c r="GL10" s="3919"/>
      <c r="GM10" s="3919"/>
      <c r="GN10" s="3919"/>
      <c r="GO10" s="3919"/>
      <c r="GP10" s="3919"/>
      <c r="GQ10" s="3919"/>
      <c r="GR10" s="3919"/>
      <c r="GS10" s="3919"/>
      <c r="GT10" s="3919"/>
      <c r="GU10" s="3919"/>
      <c r="GV10" s="3919"/>
      <c r="GW10" s="3919"/>
      <c r="GX10" s="3919"/>
      <c r="GY10" s="3919"/>
      <c r="GZ10" s="3919"/>
      <c r="HA10" s="3919"/>
      <c r="HB10" s="3919"/>
      <c r="HC10" s="3919"/>
      <c r="HD10" s="3919"/>
      <c r="HE10" s="3919"/>
      <c r="HF10" s="3919"/>
      <c r="HG10" s="3919"/>
      <c r="HH10" s="3919"/>
      <c r="HI10" s="3919"/>
      <c r="HJ10" s="3919"/>
      <c r="HK10" s="3919"/>
      <c r="HL10" s="3919"/>
      <c r="HM10" s="3919"/>
      <c r="HN10" s="3919"/>
      <c r="HO10" s="3919"/>
      <c r="HP10" s="3919"/>
      <c r="HQ10" s="3919"/>
      <c r="HR10" s="3919"/>
      <c r="HS10" s="3919"/>
      <c r="HT10" s="3919"/>
      <c r="HU10" s="3919"/>
      <c r="HV10" s="3919"/>
      <c r="HW10" s="3919"/>
      <c r="HX10" s="3919"/>
      <c r="HY10" s="3919"/>
      <c r="HZ10" s="3919"/>
      <c r="IA10" s="3919"/>
      <c r="IB10" s="3919"/>
      <c r="IC10" s="3919"/>
      <c r="ID10" s="3919"/>
      <c r="IE10" s="3919"/>
      <c r="IF10" s="3919"/>
      <c r="IG10" s="3919"/>
      <c r="IH10" s="3919"/>
      <c r="II10" s="3919"/>
      <c r="IJ10" s="3919"/>
      <c r="IK10" s="3919"/>
      <c r="IL10" s="3919"/>
      <c r="IM10" s="3919"/>
      <c r="IN10" s="3919"/>
      <c r="IO10" s="3919"/>
      <c r="IP10" s="3919"/>
      <c r="IQ10" s="3919"/>
      <c r="IR10" s="3919"/>
      <c r="IS10" s="3919"/>
      <c r="IT10" s="3919"/>
      <c r="IU10" s="3919"/>
      <c r="IV10" s="3919"/>
      <c r="IW10" s="3919"/>
      <c r="IX10" s="3919"/>
      <c r="IY10" s="3919"/>
      <c r="IZ10" s="3919"/>
      <c r="JA10" s="3919"/>
      <c r="JB10" s="3919"/>
      <c r="JC10" s="3919"/>
      <c r="JD10" s="3919"/>
      <c r="JE10" s="3919"/>
      <c r="JF10" s="3919"/>
      <c r="JG10" s="3919"/>
      <c r="JH10" s="3919"/>
      <c r="JI10" s="3919"/>
      <c r="JJ10" s="1771" t="s">
        <v>1153</v>
      </c>
      <c r="JK10" s="1771" t="s">
        <v>1153</v>
      </c>
      <c r="JL10" s="1771" t="s">
        <v>1153</v>
      </c>
      <c r="JM10" s="1771" t="s">
        <v>1153</v>
      </c>
      <c r="JN10" s="3919"/>
      <c r="JO10" s="3919"/>
      <c r="JP10" s="3919"/>
      <c r="JQ10" s="3919"/>
      <c r="JR10" s="3919"/>
      <c r="JS10" s="3919"/>
      <c r="JT10" s="3919"/>
      <c r="JU10" s="3919"/>
      <c r="JV10" s="3919"/>
      <c r="JW10" s="3919"/>
      <c r="JX10" s="1771" t="s">
        <v>1154</v>
      </c>
      <c r="JY10" s="1771" t="s">
        <v>1154</v>
      </c>
      <c r="JZ10" s="1771" t="s">
        <v>1154</v>
      </c>
      <c r="KA10" s="1771" t="s">
        <v>1154</v>
      </c>
      <c r="KB10" s="1771" t="s">
        <v>1154</v>
      </c>
      <c r="KC10" s="1771" t="s">
        <v>1155</v>
      </c>
      <c r="KD10" s="1771" t="s">
        <v>1155</v>
      </c>
      <c r="KE10" s="1771" t="s">
        <v>1155</v>
      </c>
      <c r="KF10" s="1771" t="s">
        <v>1155</v>
      </c>
      <c r="KG10" s="1771" t="s">
        <v>1155</v>
      </c>
      <c r="KH10" s="3919"/>
      <c r="KI10" s="3919"/>
      <c r="KJ10" s="3919"/>
      <c r="KK10" s="3919"/>
      <c r="KL10" s="3919"/>
      <c r="KM10" s="3919"/>
      <c r="KN10" s="3919"/>
      <c r="KO10" s="3919"/>
      <c r="KP10" s="3919"/>
      <c r="KQ10" s="3919"/>
      <c r="KR10" s="3919"/>
      <c r="KS10" s="3919"/>
      <c r="KT10" s="3919"/>
      <c r="KU10" s="3919"/>
      <c r="KV10" s="3919"/>
      <c r="KW10" s="3919"/>
      <c r="KX10" s="3919"/>
      <c r="KY10" s="3919"/>
      <c r="KZ10" s="3919"/>
      <c r="LA10" s="3919"/>
      <c r="LB10" s="3919"/>
      <c r="LC10" s="3919"/>
      <c r="LD10" s="3919"/>
      <c r="LE10" s="3919"/>
      <c r="LF10" s="3919"/>
      <c r="LG10" s="3919"/>
      <c r="LH10" s="3919"/>
      <c r="LI10" s="3919"/>
      <c r="LJ10" s="3919"/>
      <c r="LK10" s="3919"/>
      <c r="LL10" s="3919"/>
      <c r="LM10" s="3919"/>
      <c r="LN10" s="3919"/>
      <c r="LO10" s="3919"/>
      <c r="LP10" s="3919"/>
      <c r="LQ10" s="3919"/>
      <c r="LR10" s="3919"/>
      <c r="LS10" s="3919"/>
      <c r="LT10" s="3919"/>
      <c r="LU10" s="3919"/>
      <c r="LV10" s="3919"/>
      <c r="LW10" s="3919"/>
      <c r="LX10" s="3919"/>
      <c r="LY10" s="3919"/>
      <c r="LZ10" s="3919"/>
      <c r="MA10" s="3919"/>
      <c r="MB10" s="3919"/>
      <c r="MC10" s="3919"/>
      <c r="MD10" s="3919"/>
      <c r="ME10" s="3919"/>
      <c r="MF10" s="3919"/>
      <c r="MG10" s="3919"/>
      <c r="MH10" s="3919"/>
      <c r="MI10" s="3919"/>
      <c r="MJ10" s="3919"/>
      <c r="MK10" s="3919"/>
      <c r="ML10" s="3919"/>
      <c r="MM10" s="3919"/>
      <c r="MN10" s="3919"/>
      <c r="MO10" s="3919"/>
      <c r="MP10" s="3919"/>
      <c r="MQ10" s="3919"/>
      <c r="MR10" s="3919"/>
      <c r="MS10" s="3919"/>
      <c r="MT10" s="3919"/>
      <c r="MU10" s="3919"/>
      <c r="MV10" s="3919"/>
      <c r="MW10" s="3919"/>
      <c r="MX10" s="3919"/>
      <c r="MY10" s="3919"/>
      <c r="MZ10" s="3919"/>
      <c r="NA10" s="3919"/>
      <c r="NB10" s="3919"/>
      <c r="NC10" s="3919"/>
      <c r="ND10" s="3919"/>
      <c r="NE10" s="3919"/>
      <c r="NF10" s="3919"/>
      <c r="NG10" s="3919"/>
      <c r="NH10" s="3919"/>
      <c r="NI10" s="3919"/>
      <c r="NJ10" s="3919"/>
      <c r="NK10" s="3919"/>
      <c r="NL10" s="3919"/>
      <c r="NM10" s="3919"/>
      <c r="NN10" s="3919"/>
      <c r="NO10" s="3919"/>
      <c r="NP10" s="3919"/>
      <c r="NQ10" s="3919"/>
      <c r="NR10" s="3919"/>
      <c r="NS10" s="3919"/>
      <c r="NT10" s="3925"/>
      <c r="NU10" s="3925"/>
      <c r="NV10" s="3925"/>
      <c r="NW10" s="3925"/>
      <c r="NX10" s="3925"/>
      <c r="NY10" s="3919"/>
      <c r="NZ10" s="3919"/>
      <c r="OA10" s="3919"/>
      <c r="OB10" s="3919"/>
      <c r="OC10" s="3919"/>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04" t="s">
        <v>1156</v>
      </c>
      <c r="C11" s="2705"/>
      <c r="D11" s="2706"/>
      <c r="E11" s="2707"/>
      <c r="F11" s="2707"/>
      <c r="G11" s="2707"/>
      <c r="H11" s="2707"/>
      <c r="I11" s="2707"/>
      <c r="J11" s="2708"/>
      <c r="K11" s="2709"/>
      <c r="L11" s="2710">
        <f t="shared" ref="L11:L57" si="1">MAX(0,H11-I11-J11)</f>
        <v>0</v>
      </c>
      <c r="M11" s="2710">
        <f t="shared" ref="M11:M57" si="2">MAX(0,E11*L11)</f>
        <v>0</v>
      </c>
      <c r="N11" s="2711"/>
      <c r="O11" s="2712"/>
      <c r="P11" s="2711"/>
      <c r="Q11" s="2713"/>
      <c r="R11" s="539"/>
      <c r="S11" s="2714"/>
      <c r="T11" s="3920"/>
      <c r="U11" s="3921"/>
      <c r="V11" s="3921"/>
      <c r="W11" s="3922"/>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1157</v>
      </c>
      <c r="OZ11" s="1798">
        <v>11</v>
      </c>
    </row>
    <row r="12" spans="1:528" ht="12" customHeight="1">
      <c r="A12" s="53" t="str">
        <f t="shared" si="0"/>
        <v/>
      </c>
      <c r="B12" s="754" t="s">
        <v>1156</v>
      </c>
      <c r="C12" s="85"/>
      <c r="D12" s="1187"/>
      <c r="E12" s="86"/>
      <c r="F12" s="86"/>
      <c r="G12" s="86"/>
      <c r="H12" s="86"/>
      <c r="I12" s="86"/>
      <c r="J12" s="967"/>
      <c r="K12" s="473"/>
      <c r="L12" s="330">
        <f t="shared" si="1"/>
        <v>0</v>
      </c>
      <c r="M12" s="330">
        <f t="shared" si="2"/>
        <v>0</v>
      </c>
      <c r="N12" s="506"/>
      <c r="O12" s="1134"/>
      <c r="P12" s="506"/>
      <c r="Q12" s="87"/>
      <c r="R12" s="540"/>
      <c r="S12" s="541"/>
      <c r="T12" s="3916"/>
      <c r="U12" s="3917"/>
      <c r="V12" s="3917"/>
      <c r="W12" s="3918"/>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1158</v>
      </c>
      <c r="OZ12" s="1799">
        <v>12</v>
      </c>
    </row>
    <row r="13" spans="1:528" ht="12" customHeight="1">
      <c r="A13" s="53" t="str">
        <f t="shared" si="0"/>
        <v/>
      </c>
      <c r="B13" s="754" t="s">
        <v>1159</v>
      </c>
      <c r="C13" s="85"/>
      <c r="D13" s="1187"/>
      <c r="E13" s="86"/>
      <c r="F13" s="86"/>
      <c r="G13" s="86"/>
      <c r="H13" s="86"/>
      <c r="I13" s="86"/>
      <c r="J13" s="967"/>
      <c r="K13" s="473"/>
      <c r="L13" s="330">
        <f t="shared" si="1"/>
        <v>0</v>
      </c>
      <c r="M13" s="330">
        <f t="shared" si="2"/>
        <v>0</v>
      </c>
      <c r="N13" s="506"/>
      <c r="O13" s="1134"/>
      <c r="P13" s="506"/>
      <c r="Q13" s="87"/>
      <c r="R13" s="540"/>
      <c r="S13" s="541"/>
      <c r="T13" s="3916"/>
      <c r="U13" s="3917"/>
      <c r="V13" s="3917"/>
      <c r="W13" s="3918"/>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1160</v>
      </c>
      <c r="OZ13" s="1799">
        <v>13</v>
      </c>
    </row>
    <row r="14" spans="1:528" ht="12" customHeight="1">
      <c r="A14" s="53" t="str">
        <f t="shared" si="0"/>
        <v/>
      </c>
      <c r="B14" s="754" t="s">
        <v>1159</v>
      </c>
      <c r="C14" s="85"/>
      <c r="D14" s="1187"/>
      <c r="E14" s="86"/>
      <c r="F14" s="86"/>
      <c r="G14" s="86"/>
      <c r="H14" s="86"/>
      <c r="I14" s="86"/>
      <c r="J14" s="967"/>
      <c r="K14" s="473"/>
      <c r="L14" s="330">
        <f t="shared" si="1"/>
        <v>0</v>
      </c>
      <c r="M14" s="330">
        <f t="shared" si="2"/>
        <v>0</v>
      </c>
      <c r="N14" s="506"/>
      <c r="O14" s="1134"/>
      <c r="P14" s="506"/>
      <c r="Q14" s="87"/>
      <c r="R14" s="540"/>
      <c r="S14" s="541"/>
      <c r="T14" s="3916"/>
      <c r="U14" s="3917"/>
      <c r="V14" s="3917"/>
      <c r="W14" s="3918"/>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1161</v>
      </c>
      <c r="OZ14" s="1798">
        <v>14</v>
      </c>
    </row>
    <row r="15" spans="1:528" ht="12" customHeight="1">
      <c r="A15" s="53" t="str">
        <f t="shared" si="0"/>
        <v/>
      </c>
      <c r="B15" s="754" t="s">
        <v>1159</v>
      </c>
      <c r="C15" s="85"/>
      <c r="D15" s="1187"/>
      <c r="E15" s="86"/>
      <c r="F15" s="86"/>
      <c r="G15" s="86"/>
      <c r="H15" s="86"/>
      <c r="I15" s="86"/>
      <c r="J15" s="967"/>
      <c r="K15" s="473"/>
      <c r="L15" s="330">
        <f t="shared" si="1"/>
        <v>0</v>
      </c>
      <c r="M15" s="330">
        <f t="shared" si="2"/>
        <v>0</v>
      </c>
      <c r="N15" s="506"/>
      <c r="O15" s="1134"/>
      <c r="P15" s="506"/>
      <c r="Q15" s="87"/>
      <c r="R15" s="540"/>
      <c r="S15" s="541"/>
      <c r="T15" s="3916"/>
      <c r="U15" s="3917"/>
      <c r="V15" s="3917"/>
      <c r="W15" s="3918"/>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1162</v>
      </c>
      <c r="OZ15" s="1799">
        <v>15</v>
      </c>
    </row>
    <row r="16" spans="1:528" ht="12" customHeight="1">
      <c r="A16" s="53" t="str">
        <f t="shared" si="0"/>
        <v/>
      </c>
      <c r="B16" s="754" t="s">
        <v>1159</v>
      </c>
      <c r="C16" s="85"/>
      <c r="D16" s="1187"/>
      <c r="E16" s="86"/>
      <c r="F16" s="86"/>
      <c r="G16" s="86"/>
      <c r="H16" s="86"/>
      <c r="I16" s="86"/>
      <c r="J16" s="967"/>
      <c r="K16" s="473"/>
      <c r="L16" s="330">
        <f t="shared" si="1"/>
        <v>0</v>
      </c>
      <c r="M16" s="330">
        <f t="shared" si="2"/>
        <v>0</v>
      </c>
      <c r="N16" s="506"/>
      <c r="O16" s="1134"/>
      <c r="P16" s="506"/>
      <c r="Q16" s="87"/>
      <c r="R16" s="540"/>
      <c r="S16" s="541"/>
      <c r="T16" s="3916"/>
      <c r="U16" s="3917"/>
      <c r="V16" s="3917"/>
      <c r="W16" s="3918"/>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1163</v>
      </c>
      <c r="OZ16" s="1799">
        <v>16</v>
      </c>
    </row>
    <row r="17" spans="1:416" ht="12" customHeight="1" thickBot="1">
      <c r="A17" s="53" t="str">
        <f t="shared" si="0"/>
        <v/>
      </c>
      <c r="B17" s="755" t="s">
        <v>1159</v>
      </c>
      <c r="C17" s="758"/>
      <c r="D17" s="1188"/>
      <c r="E17" s="759"/>
      <c r="F17" s="759"/>
      <c r="G17" s="759"/>
      <c r="H17" s="759"/>
      <c r="I17" s="759"/>
      <c r="J17" s="968"/>
      <c r="K17" s="770"/>
      <c r="L17" s="771">
        <f t="shared" si="1"/>
        <v>0</v>
      </c>
      <c r="M17" s="771">
        <f t="shared" si="2"/>
        <v>0</v>
      </c>
      <c r="N17" s="772"/>
      <c r="O17" s="1135"/>
      <c r="P17" s="772"/>
      <c r="Q17" s="773"/>
      <c r="R17" s="540"/>
      <c r="S17" s="541"/>
      <c r="T17" s="3916"/>
      <c r="U17" s="3917"/>
      <c r="V17" s="3917"/>
      <c r="W17" s="3918"/>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1164</v>
      </c>
      <c r="OZ17" s="1799">
        <v>17</v>
      </c>
    </row>
    <row r="18" spans="1:416" ht="12" customHeight="1">
      <c r="A18" s="53" t="str">
        <f t="shared" si="0"/>
        <v/>
      </c>
      <c r="B18" s="781">
        <v>50</v>
      </c>
      <c r="C18" s="756">
        <v>1</v>
      </c>
      <c r="D18" s="1189">
        <v>1</v>
      </c>
      <c r="E18" s="757">
        <v>7</v>
      </c>
      <c r="F18" s="757">
        <v>700</v>
      </c>
      <c r="G18" s="757">
        <v>1071</v>
      </c>
      <c r="H18" s="757">
        <v>1071</v>
      </c>
      <c r="I18" s="757">
        <v>0</v>
      </c>
      <c r="J18" s="765">
        <f>IF(C18="",0,HLOOKUP(C18,'Part IV-Utility Allowances'!$I$11:$M$25,15))</f>
        <v>178</v>
      </c>
      <c r="K18" s="766"/>
      <c r="L18" s="767">
        <f t="shared" si="1"/>
        <v>893</v>
      </c>
      <c r="M18" s="767">
        <f t="shared" si="2"/>
        <v>6251</v>
      </c>
      <c r="N18" s="768" t="s">
        <v>7474</v>
      </c>
      <c r="O18" s="1136" t="s">
        <v>7673</v>
      </c>
      <c r="P18" s="768" t="s">
        <v>669</v>
      </c>
      <c r="Q18" s="769" t="s">
        <v>7474</v>
      </c>
      <c r="R18" s="540"/>
      <c r="S18" s="541"/>
      <c r="T18" s="3916"/>
      <c r="U18" s="3917"/>
      <c r="V18" s="3917"/>
      <c r="W18" s="3918"/>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t="str">
        <f t="shared" si="14"/>
        <v/>
      </c>
      <c r="AJ18" s="251" t="str">
        <f t="shared" si="15"/>
        <v/>
      </c>
      <c r="AK18" s="251" t="str">
        <f t="shared" si="16"/>
        <v/>
      </c>
      <c r="AL18" s="251" t="str">
        <f t="shared" si="17"/>
        <v/>
      </c>
      <c r="AM18" s="251" t="str">
        <f t="shared" si="18"/>
        <v/>
      </c>
      <c r="AN18" s="251">
        <f t="shared" si="19"/>
        <v>7</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t="str">
        <f t="shared" si="164"/>
        <v/>
      </c>
      <c r="GD18" s="251" t="str">
        <f t="shared" si="165"/>
        <v/>
      </c>
      <c r="GE18" s="251" t="str">
        <f t="shared" si="166"/>
        <v/>
      </c>
      <c r="GF18" s="251" t="str">
        <f t="shared" si="167"/>
        <v/>
      </c>
      <c r="GG18" s="251" t="str">
        <f t="shared" si="168"/>
        <v/>
      </c>
      <c r="GH18" s="251">
        <f t="shared" si="169"/>
        <v>4900</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f t="shared" si="204"/>
        <v>7</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t="str">
        <f t="shared" si="219"/>
        <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f t="shared" si="249"/>
        <v>7</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t="str">
        <f t="shared" si="294"/>
        <v/>
      </c>
      <c r="LD18" s="1297" t="str">
        <f t="shared" si="295"/>
        <v/>
      </c>
      <c r="LE18" s="1297" t="str">
        <f t="shared" si="296"/>
        <v/>
      </c>
      <c r="LF18" s="1297" t="str">
        <f t="shared" si="297"/>
        <v/>
      </c>
      <c r="LG18" s="1297" t="str">
        <f t="shared" si="298"/>
        <v/>
      </c>
      <c r="LH18" s="1297">
        <f t="shared" si="299"/>
        <v>7</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7</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1165</v>
      </c>
      <c r="OZ18" s="1799">
        <v>18</v>
      </c>
    </row>
    <row r="19" spans="1:416" ht="12" customHeight="1">
      <c r="A19" s="53" t="str">
        <f t="shared" si="0"/>
        <v/>
      </c>
      <c r="B19" s="782">
        <v>50</v>
      </c>
      <c r="C19" s="85">
        <v>2</v>
      </c>
      <c r="D19" s="1187">
        <v>1</v>
      </c>
      <c r="E19" s="86">
        <v>11</v>
      </c>
      <c r="F19" s="86">
        <v>956</v>
      </c>
      <c r="G19" s="86">
        <v>1285</v>
      </c>
      <c r="H19" s="86">
        <v>1285</v>
      </c>
      <c r="I19" s="86">
        <v>0</v>
      </c>
      <c r="J19" s="765">
        <f>IF(C19="",0,HLOOKUP(C19,'Part IV-Utility Allowances'!$I$11:$M$25,15))</f>
        <v>224</v>
      </c>
      <c r="K19" s="473"/>
      <c r="L19" s="330">
        <f t="shared" si="1"/>
        <v>1061</v>
      </c>
      <c r="M19" s="330">
        <f t="shared" si="2"/>
        <v>11671</v>
      </c>
      <c r="N19" s="506" t="s">
        <v>7474</v>
      </c>
      <c r="O19" s="1134" t="s">
        <v>7673</v>
      </c>
      <c r="P19" s="506" t="s">
        <v>669</v>
      </c>
      <c r="Q19" s="87" t="s">
        <v>7474</v>
      </c>
      <c r="R19" s="540"/>
      <c r="S19" s="541"/>
      <c r="T19" s="3916"/>
      <c r="U19" s="3917"/>
      <c r="V19" s="3917"/>
      <c r="W19" s="3918"/>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t="str">
        <f t="shared" si="15"/>
        <v/>
      </c>
      <c r="AK19" s="251" t="str">
        <f t="shared" si="16"/>
        <v/>
      </c>
      <c r="AL19" s="251" t="str">
        <f t="shared" si="17"/>
        <v/>
      </c>
      <c r="AM19" s="251" t="str">
        <f t="shared" si="18"/>
        <v/>
      </c>
      <c r="AN19" s="251" t="str">
        <f t="shared" si="19"/>
        <v/>
      </c>
      <c r="AO19" s="251">
        <f t="shared" si="20"/>
        <v>11</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t="str">
        <f t="shared" si="165"/>
        <v/>
      </c>
      <c r="GE19" s="251" t="str">
        <f t="shared" si="166"/>
        <v/>
      </c>
      <c r="GF19" s="251" t="str">
        <f t="shared" si="167"/>
        <v/>
      </c>
      <c r="GG19" s="251" t="str">
        <f t="shared" si="168"/>
        <v/>
      </c>
      <c r="GH19" s="251" t="str">
        <f t="shared" si="169"/>
        <v/>
      </c>
      <c r="GI19" s="251">
        <f t="shared" si="170"/>
        <v>10516</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t="str">
        <f t="shared" si="195"/>
        <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f t="shared" si="205"/>
        <v>11</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11</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t="str">
        <f t="shared" si="295"/>
        <v/>
      </c>
      <c r="LE19" s="1297" t="str">
        <f t="shared" si="296"/>
        <v/>
      </c>
      <c r="LF19" s="1297" t="str">
        <f t="shared" si="297"/>
        <v/>
      </c>
      <c r="LG19" s="1297" t="str">
        <f t="shared" si="298"/>
        <v/>
      </c>
      <c r="LH19" s="1297" t="str">
        <f t="shared" si="299"/>
        <v/>
      </c>
      <c r="LI19" s="1297">
        <f t="shared" si="300"/>
        <v>11</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0</v>
      </c>
      <c r="NV19" s="1185">
        <f t="shared" si="370"/>
        <v>11</v>
      </c>
      <c r="NW19" s="1185">
        <f t="shared" si="371"/>
        <v>0</v>
      </c>
      <c r="NX19" s="1185">
        <f t="shared" si="372"/>
        <v>0</v>
      </c>
      <c r="NY19" s="1185">
        <f t="shared" si="363"/>
        <v>0</v>
      </c>
      <c r="NZ19" s="1185">
        <f t="shared" si="364"/>
        <v>0</v>
      </c>
      <c r="OA19" s="1185">
        <f t="shared" si="365"/>
        <v>0</v>
      </c>
      <c r="OB19" s="1185">
        <f t="shared" si="366"/>
        <v>0</v>
      </c>
      <c r="OC19" s="1185">
        <f t="shared" si="367"/>
        <v>0</v>
      </c>
      <c r="OY19" s="1794" t="s">
        <v>1166</v>
      </c>
      <c r="OZ19" s="1799">
        <v>19</v>
      </c>
    </row>
    <row r="20" spans="1:416" ht="12" customHeight="1">
      <c r="A20" s="53" t="str">
        <f t="shared" si="0"/>
        <v/>
      </c>
      <c r="B20" s="782">
        <v>60</v>
      </c>
      <c r="C20" s="85">
        <v>1</v>
      </c>
      <c r="D20" s="1187">
        <v>1</v>
      </c>
      <c r="E20" s="86">
        <v>15</v>
      </c>
      <c r="F20" s="86">
        <v>700</v>
      </c>
      <c r="G20" s="86">
        <v>1285</v>
      </c>
      <c r="H20" s="86">
        <v>1278</v>
      </c>
      <c r="I20" s="86">
        <v>0</v>
      </c>
      <c r="J20" s="765">
        <f>IF(C20="",0,HLOOKUP(C20,'Part IV-Utility Allowances'!$I$11:$M$25,15))</f>
        <v>178</v>
      </c>
      <c r="K20" s="473"/>
      <c r="L20" s="330">
        <f t="shared" si="1"/>
        <v>1100</v>
      </c>
      <c r="M20" s="330">
        <f t="shared" si="2"/>
        <v>16500</v>
      </c>
      <c r="N20" s="506" t="s">
        <v>7474</v>
      </c>
      <c r="O20" s="1134" t="s">
        <v>7673</v>
      </c>
      <c r="P20" s="506" t="s">
        <v>669</v>
      </c>
      <c r="Q20" s="87" t="s">
        <v>7474</v>
      </c>
      <c r="R20" s="540"/>
      <c r="S20" s="541"/>
      <c r="T20" s="3916"/>
      <c r="U20" s="3917"/>
      <c r="V20" s="3917"/>
      <c r="W20" s="3918"/>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f t="shared" si="14"/>
        <v>15</v>
      </c>
      <c r="AJ20" s="251" t="str">
        <f t="shared" si="15"/>
        <v/>
      </c>
      <c r="AK20" s="251" t="str">
        <f t="shared" si="16"/>
        <v/>
      </c>
      <c r="AL20" s="251" t="str">
        <f t="shared" si="17"/>
        <v/>
      </c>
      <c r="AM20" s="251" t="str">
        <f t="shared" si="18"/>
        <v/>
      </c>
      <c r="AN20" s="251" t="str">
        <f t="shared" si="19"/>
        <v/>
      </c>
      <c r="AO20" s="251" t="str">
        <f t="shared" si="20"/>
        <v/>
      </c>
      <c r="AP20" s="251" t="str">
        <f t="shared" si="21"/>
        <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f t="shared" si="164"/>
        <v>10500</v>
      </c>
      <c r="GD20" s="251" t="str">
        <f t="shared" si="165"/>
        <v/>
      </c>
      <c r="GE20" s="251" t="str">
        <f t="shared" si="166"/>
        <v/>
      </c>
      <c r="GF20" s="251" t="str">
        <f t="shared" si="167"/>
        <v/>
      </c>
      <c r="GG20" s="251" t="str">
        <f t="shared" si="168"/>
        <v/>
      </c>
      <c r="GH20" s="251" t="str">
        <f t="shared" si="169"/>
        <v/>
      </c>
      <c r="GI20" s="251" t="str">
        <f t="shared" si="170"/>
        <v/>
      </c>
      <c r="GJ20" s="251" t="str">
        <f t="shared" si="171"/>
        <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f t="shared" si="204"/>
        <v>15</v>
      </c>
      <c r="HR20" s="251" t="str">
        <f t="shared" si="205"/>
        <v/>
      </c>
      <c r="HS20" s="251" t="str">
        <f t="shared" si="206"/>
        <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f t="shared" si="249"/>
        <v>15</v>
      </c>
      <c r="JK20" s="1297" t="str">
        <f t="shared" si="250"/>
        <v/>
      </c>
      <c r="JL20" s="1297" t="str">
        <f t="shared" si="251"/>
        <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t="str">
        <f t="shared" si="295"/>
        <v/>
      </c>
      <c r="LE20" s="1297" t="str">
        <f t="shared" si="296"/>
        <v/>
      </c>
      <c r="LF20" s="1297" t="str">
        <f t="shared" si="297"/>
        <v/>
      </c>
      <c r="LG20" s="1297" t="str">
        <f t="shared" si="298"/>
        <v/>
      </c>
      <c r="LH20" s="1297">
        <f t="shared" si="299"/>
        <v>15</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15</v>
      </c>
      <c r="NV20" s="1185">
        <f t="shared" si="370"/>
        <v>0</v>
      </c>
      <c r="NW20" s="1185">
        <f t="shared" si="371"/>
        <v>0</v>
      </c>
      <c r="NX20" s="1185">
        <f t="shared" si="372"/>
        <v>0</v>
      </c>
      <c r="NY20" s="1185">
        <f t="shared" si="363"/>
        <v>0</v>
      </c>
      <c r="NZ20" s="1185">
        <f t="shared" si="364"/>
        <v>0</v>
      </c>
      <c r="OA20" s="1185">
        <f t="shared" si="365"/>
        <v>0</v>
      </c>
      <c r="OB20" s="1185">
        <f t="shared" si="366"/>
        <v>0</v>
      </c>
      <c r="OC20" s="1185">
        <f t="shared" si="367"/>
        <v>0</v>
      </c>
      <c r="OY20" s="1794" t="s">
        <v>1167</v>
      </c>
      <c r="OZ20" s="1801">
        <v>20</v>
      </c>
    </row>
    <row r="21" spans="1:416" ht="12" customHeight="1">
      <c r="A21" s="53" t="str">
        <f t="shared" si="0"/>
        <v/>
      </c>
      <c r="B21" s="782">
        <v>60</v>
      </c>
      <c r="C21" s="85">
        <v>2</v>
      </c>
      <c r="D21" s="1187">
        <v>1</v>
      </c>
      <c r="E21" s="86">
        <v>21</v>
      </c>
      <c r="F21" s="86">
        <v>956</v>
      </c>
      <c r="G21" s="86">
        <v>1542</v>
      </c>
      <c r="H21" s="86">
        <v>1424</v>
      </c>
      <c r="I21" s="86">
        <v>0</v>
      </c>
      <c r="J21" s="765">
        <f>IF(C21="",0,HLOOKUP(C21,'Part IV-Utility Allowances'!$I$11:$M$25,15))</f>
        <v>224</v>
      </c>
      <c r="K21" s="473"/>
      <c r="L21" s="330">
        <f t="shared" si="1"/>
        <v>1200</v>
      </c>
      <c r="M21" s="330">
        <f t="shared" si="2"/>
        <v>25200</v>
      </c>
      <c r="N21" s="506" t="s">
        <v>7474</v>
      </c>
      <c r="O21" s="1134" t="s">
        <v>7673</v>
      </c>
      <c r="P21" s="506" t="s">
        <v>669</v>
      </c>
      <c r="Q21" s="87" t="s">
        <v>7474</v>
      </c>
      <c r="R21" s="540"/>
      <c r="S21" s="541"/>
      <c r="T21" s="3916"/>
      <c r="U21" s="3917"/>
      <c r="V21" s="3917"/>
      <c r="W21" s="3918"/>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t="str">
        <f t="shared" si="14"/>
        <v/>
      </c>
      <c r="AJ21" s="251">
        <f t="shared" si="15"/>
        <v>21</v>
      </c>
      <c r="AK21" s="251" t="str">
        <f t="shared" si="16"/>
        <v/>
      </c>
      <c r="AL21" s="251" t="str">
        <f t="shared" si="17"/>
        <v/>
      </c>
      <c r="AM21" s="251" t="str">
        <f t="shared" si="18"/>
        <v/>
      </c>
      <c r="AN21" s="251" t="str">
        <f t="shared" si="19"/>
        <v/>
      </c>
      <c r="AO21" s="251" t="str">
        <f t="shared" si="20"/>
        <v/>
      </c>
      <c r="AP21" s="251" t="str">
        <f t="shared" si="21"/>
        <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t="str">
        <f t="shared" si="164"/>
        <v/>
      </c>
      <c r="GD21" s="251">
        <f t="shared" si="165"/>
        <v>20076</v>
      </c>
      <c r="GE21" s="251" t="str">
        <f t="shared" si="166"/>
        <v/>
      </c>
      <c r="GF21" s="251" t="str">
        <f t="shared" si="167"/>
        <v/>
      </c>
      <c r="GG21" s="251" t="str">
        <f t="shared" si="168"/>
        <v/>
      </c>
      <c r="GH21" s="251" t="str">
        <f t="shared" si="169"/>
        <v/>
      </c>
      <c r="GI21" s="251" t="str">
        <f t="shared" si="170"/>
        <v/>
      </c>
      <c r="GJ21" s="251" t="str">
        <f t="shared" si="171"/>
        <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t="str">
        <f t="shared" si="204"/>
        <v/>
      </c>
      <c r="HR21" s="251">
        <f t="shared" si="205"/>
        <v>21</v>
      </c>
      <c r="HS21" s="251" t="str">
        <f t="shared" si="206"/>
        <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t="str">
        <f t="shared" si="249"/>
        <v/>
      </c>
      <c r="JK21" s="1297">
        <f t="shared" si="250"/>
        <v>21</v>
      </c>
      <c r="JL21" s="1297" t="str">
        <f t="shared" si="251"/>
        <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t="str">
        <f t="shared" si="296"/>
        <v/>
      </c>
      <c r="LF21" s="1297" t="str">
        <f t="shared" si="297"/>
        <v/>
      </c>
      <c r="LG21" s="1297" t="str">
        <f t="shared" si="298"/>
        <v/>
      </c>
      <c r="LH21" s="1297" t="str">
        <f t="shared" si="299"/>
        <v/>
      </c>
      <c r="LI21" s="1297">
        <f t="shared" si="300"/>
        <v>21</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0</v>
      </c>
      <c r="NV21" s="1185">
        <f t="shared" si="370"/>
        <v>21</v>
      </c>
      <c r="NW21" s="1185">
        <f t="shared" si="371"/>
        <v>0</v>
      </c>
      <c r="NX21" s="1185">
        <f t="shared" si="372"/>
        <v>0</v>
      </c>
      <c r="NY21" s="1185">
        <f t="shared" si="363"/>
        <v>0</v>
      </c>
      <c r="NZ21" s="1185">
        <f t="shared" si="364"/>
        <v>0</v>
      </c>
      <c r="OA21" s="1185">
        <f t="shared" si="365"/>
        <v>0</v>
      </c>
      <c r="OB21" s="1185">
        <f t="shared" si="366"/>
        <v>0</v>
      </c>
      <c r="OC21" s="1185">
        <f t="shared" si="367"/>
        <v>0</v>
      </c>
      <c r="OY21" s="1794" t="s">
        <v>1168</v>
      </c>
      <c r="OZ21" s="1799">
        <v>21</v>
      </c>
    </row>
    <row r="22" spans="1:416" ht="12" customHeight="1">
      <c r="A22" s="53" t="str">
        <f t="shared" si="0"/>
        <v/>
      </c>
      <c r="B22" s="782">
        <v>70</v>
      </c>
      <c r="C22" s="85">
        <v>1</v>
      </c>
      <c r="D22" s="1187">
        <v>1</v>
      </c>
      <c r="E22" s="86">
        <v>2</v>
      </c>
      <c r="F22" s="86">
        <v>700</v>
      </c>
      <c r="G22" s="86">
        <v>1499</v>
      </c>
      <c r="H22" s="86">
        <v>1378</v>
      </c>
      <c r="I22" s="86">
        <v>0</v>
      </c>
      <c r="J22" s="765">
        <f>IF(C22="",0,HLOOKUP(C22,'Part IV-Utility Allowances'!$I$11:$M$25,15))</f>
        <v>178</v>
      </c>
      <c r="K22" s="473"/>
      <c r="L22" s="330">
        <f t="shared" si="1"/>
        <v>1200</v>
      </c>
      <c r="M22" s="330">
        <f t="shared" si="2"/>
        <v>2400</v>
      </c>
      <c r="N22" s="506" t="s">
        <v>7474</v>
      </c>
      <c r="O22" s="1134" t="s">
        <v>7673</v>
      </c>
      <c r="P22" s="506" t="s">
        <v>669</v>
      </c>
      <c r="Q22" s="87" t="s">
        <v>7474</v>
      </c>
      <c r="R22" s="540"/>
      <c r="S22" s="541"/>
      <c r="T22" s="3916"/>
      <c r="U22" s="3917"/>
      <c r="V22" s="3917"/>
      <c r="W22" s="3918"/>
      <c r="X22" s="251" t="str">
        <f t="shared" si="3"/>
        <v/>
      </c>
      <c r="Y22" s="251" t="str">
        <f t="shared" si="4"/>
        <v/>
      </c>
      <c r="Z22" s="251" t="str">
        <f t="shared" si="5"/>
        <v/>
      </c>
      <c r="AA22" s="251" t="str">
        <f t="shared" si="6"/>
        <v/>
      </c>
      <c r="AB22" s="251" t="str">
        <f t="shared" si="7"/>
        <v/>
      </c>
      <c r="AC22" s="251" t="str">
        <f t="shared" si="8"/>
        <v/>
      </c>
      <c r="AD22" s="251">
        <f t="shared" si="9"/>
        <v>2</v>
      </c>
      <c r="AE22" s="251" t="str">
        <f t="shared" si="10"/>
        <v/>
      </c>
      <c r="AF22" s="251" t="str">
        <f t="shared" si="11"/>
        <v/>
      </c>
      <c r="AG22" s="251" t="str">
        <f t="shared" si="12"/>
        <v/>
      </c>
      <c r="AH22" s="251" t="str">
        <f t="shared" si="13"/>
        <v/>
      </c>
      <c r="AI22" s="251" t="str">
        <f t="shared" si="14"/>
        <v/>
      </c>
      <c r="AJ22" s="251" t="str">
        <f t="shared" si="15"/>
        <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f t="shared" si="159"/>
        <v>1400</v>
      </c>
      <c r="FY22" s="251" t="str">
        <f t="shared" si="160"/>
        <v/>
      </c>
      <c r="FZ22" s="251" t="str">
        <f t="shared" si="161"/>
        <v/>
      </c>
      <c r="GA22" s="251" t="str">
        <f t="shared" si="162"/>
        <v/>
      </c>
      <c r="GB22" s="251" t="str">
        <f t="shared" si="163"/>
        <v/>
      </c>
      <c r="GC22" s="251" t="str">
        <f t="shared" si="164"/>
        <v/>
      </c>
      <c r="GD22" s="251" t="str">
        <f t="shared" si="165"/>
        <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f t="shared" si="204"/>
        <v>2</v>
      </c>
      <c r="HR22" s="251" t="str">
        <f t="shared" si="205"/>
        <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f t="shared" si="249"/>
        <v>2</v>
      </c>
      <c r="JK22" s="1297" t="str">
        <f t="shared" si="250"/>
        <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t="str">
        <f t="shared" si="294"/>
        <v/>
      </c>
      <c r="LD22" s="1297" t="str">
        <f t="shared" si="295"/>
        <v/>
      </c>
      <c r="LE22" s="1297" t="str">
        <f t="shared" si="296"/>
        <v/>
      </c>
      <c r="LF22" s="1297" t="str">
        <f t="shared" si="297"/>
        <v/>
      </c>
      <c r="LG22" s="1297" t="str">
        <f t="shared" si="298"/>
        <v/>
      </c>
      <c r="LH22" s="1297">
        <f t="shared" si="299"/>
        <v>2</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2</v>
      </c>
      <c r="NV22" s="1185">
        <f t="shared" si="370"/>
        <v>0</v>
      </c>
      <c r="NW22" s="1185">
        <f t="shared" si="371"/>
        <v>0</v>
      </c>
      <c r="NX22" s="1185">
        <f t="shared" si="372"/>
        <v>0</v>
      </c>
      <c r="NY22" s="1185">
        <f t="shared" si="363"/>
        <v>0</v>
      </c>
      <c r="NZ22" s="1185">
        <f t="shared" si="364"/>
        <v>0</v>
      </c>
      <c r="OA22" s="1185">
        <f t="shared" si="365"/>
        <v>0</v>
      </c>
      <c r="OB22" s="1185">
        <f t="shared" si="366"/>
        <v>0</v>
      </c>
      <c r="OC22" s="1185">
        <f t="shared" si="367"/>
        <v>0</v>
      </c>
      <c r="OY22" s="1794" t="s">
        <v>1169</v>
      </c>
      <c r="OZ22" s="1798">
        <v>22</v>
      </c>
    </row>
    <row r="23" spans="1:416" ht="12" customHeight="1">
      <c r="A23" s="53" t="str">
        <f t="shared" si="0"/>
        <v/>
      </c>
      <c r="B23" s="782">
        <v>70</v>
      </c>
      <c r="C23" s="85">
        <v>2</v>
      </c>
      <c r="D23" s="1187">
        <v>1</v>
      </c>
      <c r="E23" s="86">
        <v>4</v>
      </c>
      <c r="F23" s="86">
        <v>956</v>
      </c>
      <c r="G23" s="86">
        <v>1799</v>
      </c>
      <c r="H23" s="86">
        <v>1524</v>
      </c>
      <c r="I23" s="86">
        <v>0</v>
      </c>
      <c r="J23" s="765">
        <f>IF(C23="",0,HLOOKUP(C23,'Part IV-Utility Allowances'!$I$11:$M$25,15))</f>
        <v>224</v>
      </c>
      <c r="K23" s="473"/>
      <c r="L23" s="330">
        <f t="shared" si="1"/>
        <v>1300</v>
      </c>
      <c r="M23" s="330">
        <f t="shared" si="2"/>
        <v>5200</v>
      </c>
      <c r="N23" s="506" t="s">
        <v>7474</v>
      </c>
      <c r="O23" s="1134" t="s">
        <v>7673</v>
      </c>
      <c r="P23" s="506" t="s">
        <v>669</v>
      </c>
      <c r="Q23" s="87" t="s">
        <v>7474</v>
      </c>
      <c r="R23" s="540"/>
      <c r="S23" s="541"/>
      <c r="T23" s="3916"/>
      <c r="U23" s="3917"/>
      <c r="V23" s="3917"/>
      <c r="W23" s="3918"/>
      <c r="X23" s="251" t="str">
        <f t="shared" si="3"/>
        <v/>
      </c>
      <c r="Y23" s="251" t="str">
        <f t="shared" si="4"/>
        <v/>
      </c>
      <c r="Z23" s="251" t="str">
        <f t="shared" si="5"/>
        <v/>
      </c>
      <c r="AA23" s="251" t="str">
        <f t="shared" si="6"/>
        <v/>
      </c>
      <c r="AB23" s="251" t="str">
        <f t="shared" si="7"/>
        <v/>
      </c>
      <c r="AC23" s="251" t="str">
        <f t="shared" si="8"/>
        <v/>
      </c>
      <c r="AD23" s="251" t="str">
        <f t="shared" si="9"/>
        <v/>
      </c>
      <c r="AE23" s="251">
        <f t="shared" si="10"/>
        <v>4</v>
      </c>
      <c r="AF23" s="251" t="str">
        <f t="shared" si="11"/>
        <v/>
      </c>
      <c r="AG23" s="251" t="str">
        <f t="shared" si="12"/>
        <v/>
      </c>
      <c r="AH23" s="251" t="str">
        <f t="shared" si="13"/>
        <v/>
      </c>
      <c r="AI23" s="251" t="str">
        <f t="shared" si="14"/>
        <v/>
      </c>
      <c r="AJ23" s="251" t="str">
        <f t="shared" si="15"/>
        <v/>
      </c>
      <c r="AK23" s="251" t="str">
        <f t="shared" si="16"/>
        <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f t="shared" si="160"/>
        <v>3824</v>
      </c>
      <c r="FZ23" s="251" t="str">
        <f t="shared" si="161"/>
        <v/>
      </c>
      <c r="GA23" s="251" t="str">
        <f t="shared" si="162"/>
        <v/>
      </c>
      <c r="GB23" s="251" t="str">
        <f t="shared" si="163"/>
        <v/>
      </c>
      <c r="GC23" s="251" t="str">
        <f t="shared" si="164"/>
        <v/>
      </c>
      <c r="GD23" s="251" t="str">
        <f t="shared" si="165"/>
        <v/>
      </c>
      <c r="GE23" s="251" t="str">
        <f t="shared" si="166"/>
        <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f t="shared" si="205"/>
        <v>4</v>
      </c>
      <c r="HS23" s="251" t="str">
        <f t="shared" si="206"/>
        <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f t="shared" si="250"/>
        <v>4</v>
      </c>
      <c r="JL23" s="1297" t="str">
        <f t="shared" si="251"/>
        <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t="str">
        <f t="shared" si="295"/>
        <v/>
      </c>
      <c r="LE23" s="1297" t="str">
        <f t="shared" si="296"/>
        <v/>
      </c>
      <c r="LF23" s="1297" t="str">
        <f t="shared" si="297"/>
        <v/>
      </c>
      <c r="LG23" s="1297" t="str">
        <f t="shared" si="298"/>
        <v/>
      </c>
      <c r="LH23" s="1297" t="str">
        <f t="shared" si="299"/>
        <v/>
      </c>
      <c r="LI23" s="1297">
        <f t="shared" si="300"/>
        <v>4</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0</v>
      </c>
      <c r="NV23" s="1185">
        <f t="shared" si="370"/>
        <v>4</v>
      </c>
      <c r="NW23" s="1185">
        <f t="shared" si="371"/>
        <v>0</v>
      </c>
      <c r="NX23" s="1185">
        <f t="shared" si="372"/>
        <v>0</v>
      </c>
      <c r="NY23" s="1185">
        <f t="shared" si="363"/>
        <v>0</v>
      </c>
      <c r="NZ23" s="1185">
        <f t="shared" si="364"/>
        <v>0</v>
      </c>
      <c r="OA23" s="1185">
        <f t="shared" si="365"/>
        <v>0</v>
      </c>
      <c r="OB23" s="1185">
        <f t="shared" si="366"/>
        <v>0</v>
      </c>
      <c r="OC23" s="1185">
        <f t="shared" si="367"/>
        <v>0</v>
      </c>
      <c r="OY23" s="1794" t="s">
        <v>1170</v>
      </c>
      <c r="OZ23" s="1799">
        <v>23</v>
      </c>
    </row>
    <row r="24" spans="1:416" ht="12" customHeight="1">
      <c r="A24" s="53" t="str">
        <f t="shared" si="0"/>
        <v/>
      </c>
      <c r="B24" s="782"/>
      <c r="C24" s="85"/>
      <c r="D24" s="1187"/>
      <c r="E24" s="86"/>
      <c r="F24" s="86"/>
      <c r="G24" s="86"/>
      <c r="H24" s="86"/>
      <c r="I24" s="86"/>
      <c r="J24" s="765">
        <f>IF(C24="",0,HLOOKUP(C24,'Part IV-Utility Allowances'!$I$11:$M$25,15))</f>
        <v>0</v>
      </c>
      <c r="K24" s="473"/>
      <c r="L24" s="330">
        <f t="shared" si="1"/>
        <v>0</v>
      </c>
      <c r="M24" s="330">
        <f t="shared" si="2"/>
        <v>0</v>
      </c>
      <c r="N24" s="506"/>
      <c r="O24" s="1134"/>
      <c r="P24" s="506"/>
      <c r="Q24" s="87"/>
      <c r="R24" s="540"/>
      <c r="S24" s="541"/>
      <c r="T24" s="3916"/>
      <c r="U24" s="3917"/>
      <c r="V24" s="3917"/>
      <c r="W24" s="3918"/>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t="str">
        <f t="shared" si="16"/>
        <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t="str">
        <f t="shared" si="166"/>
        <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t="str">
        <f t="shared" si="251"/>
        <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t="str">
        <f t="shared" si="296"/>
        <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0</v>
      </c>
      <c r="NW24" s="1185">
        <f t="shared" si="371"/>
        <v>0</v>
      </c>
      <c r="NX24" s="1185">
        <f t="shared" si="372"/>
        <v>0</v>
      </c>
      <c r="NY24" s="1185">
        <f t="shared" si="363"/>
        <v>0</v>
      </c>
      <c r="NZ24" s="1185">
        <f t="shared" si="364"/>
        <v>0</v>
      </c>
      <c r="OA24" s="1185">
        <f t="shared" si="365"/>
        <v>0</v>
      </c>
      <c r="OB24" s="1185">
        <f t="shared" si="366"/>
        <v>0</v>
      </c>
      <c r="OC24" s="1185">
        <f t="shared" si="367"/>
        <v>0</v>
      </c>
      <c r="OY24" s="1794" t="s">
        <v>1171</v>
      </c>
      <c r="OZ24" s="1799">
        <v>24</v>
      </c>
    </row>
    <row r="25" spans="1:416" ht="12" customHeight="1">
      <c r="A25" s="53" t="str">
        <f t="shared" si="0"/>
        <v/>
      </c>
      <c r="B25" s="782"/>
      <c r="C25" s="85"/>
      <c r="D25" s="1187"/>
      <c r="E25" s="86"/>
      <c r="F25" s="86"/>
      <c r="G25" s="86"/>
      <c r="H25" s="86"/>
      <c r="I25" s="86"/>
      <c r="J25" s="765">
        <f>IF(C25="",0,HLOOKUP(C25,'Part IV-Utility Allowances'!$I$11:$M$25,15))</f>
        <v>0</v>
      </c>
      <c r="K25" s="473"/>
      <c r="L25" s="330">
        <f t="shared" si="1"/>
        <v>0</v>
      </c>
      <c r="M25" s="330">
        <f t="shared" si="2"/>
        <v>0</v>
      </c>
      <c r="N25" s="506"/>
      <c r="O25" s="1134"/>
      <c r="P25" s="506"/>
      <c r="Q25" s="87"/>
      <c r="R25" s="540"/>
      <c r="S25" s="541"/>
      <c r="T25" s="3916"/>
      <c r="U25" s="3917"/>
      <c r="V25" s="3917"/>
      <c r="W25" s="3918"/>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1172</v>
      </c>
      <c r="OZ25" s="1798">
        <v>25</v>
      </c>
    </row>
    <row r="26" spans="1:416" ht="12" customHeight="1">
      <c r="A26" s="53" t="str">
        <f t="shared" si="0"/>
        <v/>
      </c>
      <c r="B26" s="782"/>
      <c r="C26" s="85"/>
      <c r="D26" s="1187"/>
      <c r="E26" s="86"/>
      <c r="F26" s="86"/>
      <c r="G26" s="86"/>
      <c r="H26" s="86"/>
      <c r="I26" s="86"/>
      <c r="J26" s="765">
        <f>IF(C26="",0,HLOOKUP(C26,'Part IV-Utility Allowances'!$I$11:$M$25,15))</f>
        <v>0</v>
      </c>
      <c r="K26" s="473"/>
      <c r="L26" s="330">
        <f t="shared" si="1"/>
        <v>0</v>
      </c>
      <c r="M26" s="330">
        <f t="shared" si="2"/>
        <v>0</v>
      </c>
      <c r="N26" s="506"/>
      <c r="O26" s="1134"/>
      <c r="P26" s="506"/>
      <c r="Q26" s="87"/>
      <c r="R26" s="540"/>
      <c r="S26" s="541"/>
      <c r="T26" s="3916"/>
      <c r="U26" s="3917"/>
      <c r="V26" s="3917"/>
      <c r="W26" s="3918"/>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1173</v>
      </c>
      <c r="OZ26" s="1799">
        <v>26</v>
      </c>
    </row>
    <row r="27" spans="1:416" ht="12" customHeight="1">
      <c r="A27" s="53" t="str">
        <f t="shared" si="0"/>
        <v/>
      </c>
      <c r="B27" s="782"/>
      <c r="C27" s="85"/>
      <c r="D27" s="1187"/>
      <c r="E27" s="86"/>
      <c r="F27" s="86"/>
      <c r="G27" s="86"/>
      <c r="H27" s="86"/>
      <c r="I27" s="86"/>
      <c r="J27" s="765">
        <f>IF(C27="",0,HLOOKUP(C27,'Part IV-Utility Allowances'!$I$11:$M$25,15))</f>
        <v>0</v>
      </c>
      <c r="K27" s="473"/>
      <c r="L27" s="330">
        <f t="shared" si="1"/>
        <v>0</v>
      </c>
      <c r="M27" s="330">
        <f t="shared" si="2"/>
        <v>0</v>
      </c>
      <c r="N27" s="506"/>
      <c r="O27" s="1134"/>
      <c r="P27" s="506"/>
      <c r="Q27" s="87"/>
      <c r="R27" s="540"/>
      <c r="S27" s="541"/>
      <c r="T27" s="3916"/>
      <c r="U27" s="3917"/>
      <c r="V27" s="3917"/>
      <c r="W27" s="3918"/>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t="str">
        <f t="shared" si="250"/>
        <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t="str">
        <f t="shared" si="295"/>
        <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0</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1174</v>
      </c>
      <c r="OZ27" s="1799">
        <v>27</v>
      </c>
    </row>
    <row r="28" spans="1:416" ht="12" customHeight="1">
      <c r="A28" s="53" t="str">
        <f t="shared" si="0"/>
        <v/>
      </c>
      <c r="B28" s="782"/>
      <c r="C28" s="85"/>
      <c r="D28" s="1187"/>
      <c r="E28" s="86"/>
      <c r="F28" s="86"/>
      <c r="G28" s="86"/>
      <c r="H28" s="86"/>
      <c r="I28" s="86"/>
      <c r="J28" s="765">
        <f>IF(C28="",0,HLOOKUP(C28,'Part IV-Utility Allowances'!$I$11:$M$25,15))</f>
        <v>0</v>
      </c>
      <c r="K28" s="473"/>
      <c r="L28" s="330">
        <f t="shared" si="1"/>
        <v>0</v>
      </c>
      <c r="M28" s="330">
        <f t="shared" si="2"/>
        <v>0</v>
      </c>
      <c r="N28" s="506"/>
      <c r="O28" s="1134"/>
      <c r="P28" s="506"/>
      <c r="Q28" s="87"/>
      <c r="R28" s="540"/>
      <c r="S28" s="541"/>
      <c r="T28" s="3916"/>
      <c r="U28" s="3917"/>
      <c r="V28" s="3917"/>
      <c r="W28" s="3918"/>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1175</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916"/>
      <c r="U29" s="3917"/>
      <c r="V29" s="3917"/>
      <c r="W29" s="3918"/>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1176</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916"/>
      <c r="U30" s="3917"/>
      <c r="V30" s="3917"/>
      <c r="W30" s="3918"/>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1177</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916"/>
      <c r="U31" s="3917"/>
      <c r="V31" s="3917"/>
      <c r="W31" s="3918"/>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1178</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916"/>
      <c r="U32" s="3917"/>
      <c r="V32" s="3917"/>
      <c r="W32" s="3918"/>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1179</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916"/>
      <c r="U33" s="3917"/>
      <c r="V33" s="3917"/>
      <c r="W33" s="3918"/>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1180</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916"/>
      <c r="U34" s="3917"/>
      <c r="V34" s="3917"/>
      <c r="W34" s="3918"/>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1181</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916"/>
      <c r="U35" s="3917"/>
      <c r="V35" s="3917"/>
      <c r="W35" s="3918"/>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1182</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916"/>
      <c r="U36" s="3917"/>
      <c r="V36" s="3917"/>
      <c r="W36" s="3918"/>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1183</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916"/>
      <c r="U37" s="3917"/>
      <c r="V37" s="3917"/>
      <c r="W37" s="3918"/>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1184</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916"/>
      <c r="U38" s="3917"/>
      <c r="V38" s="3917"/>
      <c r="W38" s="3918"/>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1185</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916"/>
      <c r="U39" s="3917"/>
      <c r="V39" s="3917"/>
      <c r="W39" s="3918"/>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1186</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916"/>
      <c r="U40" s="3917"/>
      <c r="V40" s="3917"/>
      <c r="W40" s="3918"/>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1187</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916"/>
      <c r="U41" s="3917"/>
      <c r="V41" s="3917"/>
      <c r="W41" s="3918"/>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1188</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916"/>
      <c r="U42" s="3917"/>
      <c r="V42" s="3917"/>
      <c r="W42" s="3918"/>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1189</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916"/>
      <c r="U43" s="3917"/>
      <c r="V43" s="3917"/>
      <c r="W43" s="3918"/>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1190</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916"/>
      <c r="U44" s="3917"/>
      <c r="V44" s="3917"/>
      <c r="W44" s="3918"/>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1191</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916"/>
      <c r="U45" s="3917"/>
      <c r="V45" s="3917"/>
      <c r="W45" s="3918"/>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1192</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916"/>
      <c r="U46" s="3917"/>
      <c r="V46" s="3917"/>
      <c r="W46" s="3918"/>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1193</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916"/>
      <c r="U47" s="3917"/>
      <c r="V47" s="3917"/>
      <c r="W47" s="3918"/>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1194</v>
      </c>
      <c r="OZ47" s="1798">
        <v>47</v>
      </c>
    </row>
    <row r="48" spans="1:416" ht="12" customHeight="1">
      <c r="A48" s="53" t="str">
        <f t="shared" ref="A48:A51" si="373">IF(AND(E48&gt;0,OR(B48="",C48="",D48="",F48="",G48="", H48="",I48="",N48="",O48="",P48="",Q48="")),1,"")</f>
        <v/>
      </c>
      <c r="B48" s="782"/>
      <c r="C48" s="85"/>
      <c r="D48" s="1187"/>
      <c r="E48" s="86"/>
      <c r="F48" s="86"/>
      <c r="G48" s="86"/>
      <c r="H48" s="86"/>
      <c r="I48" s="86"/>
      <c r="J48" s="765">
        <f>IF(C48="",0,HLOOKUP(C48,'Part IV-Utility Allowances'!$I$11:$M$25,15))</f>
        <v>0</v>
      </c>
      <c r="K48" s="473"/>
      <c r="L48" s="330">
        <f t="shared" ref="L48:L51" si="374">MAX(0,H48-I48-J48)</f>
        <v>0</v>
      </c>
      <c r="M48" s="330">
        <f t="shared" ref="M48:M51" si="375">MAX(0,E48*L48)</f>
        <v>0</v>
      </c>
      <c r="N48" s="506"/>
      <c r="O48" s="1134"/>
      <c r="P48" s="506"/>
      <c r="Q48" s="87"/>
      <c r="R48" s="540"/>
      <c r="S48" s="541"/>
      <c r="T48" s="3916"/>
      <c r="U48" s="3917"/>
      <c r="V48" s="3917"/>
      <c r="W48" s="3918"/>
      <c r="X48" s="251" t="str">
        <f t="shared" ref="X48:X51" si="376">IF(AND(C48="Efficiency",B48=80,NOT(N48="Common Space")),E48,"")</f>
        <v/>
      </c>
      <c r="Y48" s="251" t="str">
        <f t="shared" ref="Y48:Y51" si="377">IF(AND(C48=1,B48=80,NOT(N48="Common Space")),E48,"")</f>
        <v/>
      </c>
      <c r="Z48" s="251" t="str">
        <f t="shared" ref="Z48:Z51" si="378">IF(AND(C48=2,B48=80,NOT(N48="Common Space")),E48,"")</f>
        <v/>
      </c>
      <c r="AA48" s="251" t="str">
        <f t="shared" ref="AA48:AA51" si="379">IF(AND(C48=3,B48=80,NOT(N48="Common Space")),E48,"")</f>
        <v/>
      </c>
      <c r="AB48" s="251" t="str">
        <f t="shared" ref="AB48:AB51" si="380">IF(AND(C48=4,B48=80,NOT(N48="Common Space")),E48,"")</f>
        <v/>
      </c>
      <c r="AC48" s="251" t="str">
        <f t="shared" ref="AC48:AC51" si="381">IF(AND(C48="Efficiency",B48=70,NOT(N48="Common Space")),E48,"")</f>
        <v/>
      </c>
      <c r="AD48" s="251" t="str">
        <f t="shared" ref="AD48:AD51" si="382">IF(AND(C48=1,B48=70,NOT(N48="Common Space")),E48,"")</f>
        <v/>
      </c>
      <c r="AE48" s="251" t="str">
        <f t="shared" ref="AE48:AE51" si="383">IF(AND(C48=2,B48=70,NOT(N48="Common Space")),E48,"")</f>
        <v/>
      </c>
      <c r="AF48" s="251" t="str">
        <f t="shared" ref="AF48:AF51" si="384">IF(AND(C48=3,B48=70,NOT(N48="Common Space")),E48,"")</f>
        <v/>
      </c>
      <c r="AG48" s="251" t="str">
        <f t="shared" ref="AG48:AG51" si="385">IF(AND(C48=4,B48=70,NOT(N48="Common Space")),E48,"")</f>
        <v/>
      </c>
      <c r="AH48" s="251" t="str">
        <f t="shared" ref="AH48:AH51" si="386">IF(AND(C48="Efficiency",B48=60,NOT(N48="Common Space")),E48,"")</f>
        <v/>
      </c>
      <c r="AI48" s="251" t="str">
        <f t="shared" ref="AI48:AI51" si="387">IF(AND(C48=1,B48=60,NOT(N48="Common Space")),E48,"")</f>
        <v/>
      </c>
      <c r="AJ48" s="251" t="str">
        <f t="shared" ref="AJ48:AJ51" si="388">IF(AND(C48=2,B48=60,NOT(N48="Common Space")),E48,"")</f>
        <v/>
      </c>
      <c r="AK48" s="251" t="str">
        <f t="shared" ref="AK48:AK51" si="389">IF(AND(C48=3,B48=60,NOT(N48="Common Space")),E48,"")</f>
        <v/>
      </c>
      <c r="AL48" s="251" t="str">
        <f t="shared" ref="AL48:AL51" si="390">IF(AND(C48=4,B48=60,NOT(N48="Common Space")),E48,"")</f>
        <v/>
      </c>
      <c r="AM48" s="251" t="str">
        <f t="shared" ref="AM48:AM51" si="391">IF(AND(C48="Efficiency",B48=50,NOT(N48="Common Space")),E48,"")</f>
        <v/>
      </c>
      <c r="AN48" s="251" t="str">
        <f t="shared" ref="AN48:AN51" si="392">IF(AND(C48=1,B48=50,NOT(N48="Common Space")),E48,"")</f>
        <v/>
      </c>
      <c r="AO48" s="251" t="str">
        <f t="shared" ref="AO48:AO51" si="393">IF(AND(C48=2,B48=50,NOT(N48="Common Space")),E48,"")</f>
        <v/>
      </c>
      <c r="AP48" s="251" t="str">
        <f t="shared" ref="AP48:AP51" si="394">IF(AND(C48=3,B48=50,NOT(N48="Common Space")),E48,"")</f>
        <v/>
      </c>
      <c r="AQ48" s="251" t="str">
        <f t="shared" ref="AQ48:AQ51" si="395">IF(AND(C48=4,B48=50,NOT(N48="Common Space")),E48,"")</f>
        <v/>
      </c>
      <c r="AR48" s="251" t="str">
        <f t="shared" ref="AR48:AR51" si="396">IF(AND(C48="Efficiency",B48=40,NOT(N48="Common Space")),E48,"")</f>
        <v/>
      </c>
      <c r="AS48" s="251" t="str">
        <f t="shared" ref="AS48:AS51" si="397">IF(AND(C48=1,B48=40,NOT(N48="Common Space")),E48,"")</f>
        <v/>
      </c>
      <c r="AT48" s="251" t="str">
        <f t="shared" ref="AT48:AT51" si="398">IF(AND(C48=2,B48=40,NOT(N48="Common Space")),E48,"")</f>
        <v/>
      </c>
      <c r="AU48" s="251" t="str">
        <f t="shared" ref="AU48:AU51" si="399">IF(AND(C48=3,B48=40,NOT(N48="Common Space")),E48,"")</f>
        <v/>
      </c>
      <c r="AV48" s="251" t="str">
        <f t="shared" ref="AV48:AV51" si="400">IF(AND(C48=4,B48=40,NOT(N48="Common Space")),E48,"")</f>
        <v/>
      </c>
      <c r="AW48" s="251" t="str">
        <f t="shared" ref="AW48:AW51" si="401">IF(AND(C48="Efficiency",B48=30,NOT(N48="Common Space")),E48,"")</f>
        <v/>
      </c>
      <c r="AX48" s="251" t="str">
        <f t="shared" ref="AX48:AX51" si="402">IF(AND(C48=1,B48=30,NOT(N48="Common Space")),E48,"")</f>
        <v/>
      </c>
      <c r="AY48" s="251" t="str">
        <f t="shared" ref="AY48:AY51" si="403">IF(AND(C48=2,B48=30,NOT(N48="Common Space")),E48,"")</f>
        <v/>
      </c>
      <c r="AZ48" s="251" t="str">
        <f t="shared" ref="AZ48:AZ51" si="404">IF(AND(C48=3,B48=30,NOT(N48="Common Space")),E48,"")</f>
        <v/>
      </c>
      <c r="BA48" s="251" t="str">
        <f t="shared" ref="BA48:BA51" si="405">IF(AND(C48=4,B48=30,NOT(N48="Common Space")),E48,"")</f>
        <v/>
      </c>
      <c r="BB48" s="251" t="str">
        <f t="shared" ref="BB48:BB51" si="406">IF(AND(C48="Efficiency",B48=20,NOT(N48="Common Space")),E48,"")</f>
        <v/>
      </c>
      <c r="BC48" s="251" t="str">
        <f t="shared" ref="BC48:BC51" si="407">IF(AND(C48=1,B48=20,NOT(N48="Common Space")),E48,"")</f>
        <v/>
      </c>
      <c r="BD48" s="251" t="str">
        <f t="shared" ref="BD48:BD51" si="408">IF(AND(C48=2,B48=20,NOT(N48="Common Space")),E48,"")</f>
        <v/>
      </c>
      <c r="BE48" s="251" t="str">
        <f t="shared" ref="BE48:BE51" si="409">IF(AND(C48=3,B48=20,NOT(N48="Common Space")),E48,"")</f>
        <v/>
      </c>
      <c r="BF48" s="251" t="str">
        <f t="shared" ref="BF48:BF51" si="410">IF(AND(C48=4,B48=20,NOT(N48="Common Space")),E48,"")</f>
        <v/>
      </c>
      <c r="BG48" s="251" t="str">
        <f t="shared" ref="BG48:BG51" si="411">IF(AND(C48="Efficiency",B48="Unrestricted",NOT(N48="Common Space")),E48,"")</f>
        <v/>
      </c>
      <c r="BH48" s="251" t="str">
        <f t="shared" ref="BH48:BH51" si="412">IF(AND(C48=1,B48="Unrestricted",NOT(N48="Common Space")),E48,"")</f>
        <v/>
      </c>
      <c r="BI48" s="251" t="str">
        <f t="shared" ref="BI48:BI51" si="413">IF(AND(C48=2,B48="Unrestricted",NOT(N48="Common Space")),E48,"")</f>
        <v/>
      </c>
      <c r="BJ48" s="251" t="str">
        <f t="shared" ref="BJ48:BJ51" si="414">IF(AND(C48=3,B48="Unrestricted",NOT(N48="Common Space")),E48,"")</f>
        <v/>
      </c>
      <c r="BK48" s="251" t="str">
        <f t="shared" ref="BK48:BK51" si="415">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6">IF(AND(C48="Efficiency",N48="Common Space"),E48,"")</f>
        <v/>
      </c>
      <c r="FN48" s="251" t="str">
        <f t="shared" ref="FN48:FN51" si="417">IF(AND(C48=1,N48="Common Space"),E48,"")</f>
        <v/>
      </c>
      <c r="FO48" s="251" t="str">
        <f t="shared" ref="FO48:FO51" si="418">IF(AND(C48=2,N48="Common Space"),E48,"")</f>
        <v/>
      </c>
      <c r="FP48" s="251" t="str">
        <f t="shared" ref="FP48:FP51" si="419">IF(AND(C48=3,N48="Common Space"),E48,"")</f>
        <v/>
      </c>
      <c r="FQ48" s="251" t="str">
        <f t="shared" ref="FQ48:FQ51" si="420">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1">IF(AND(C48="Efficiency",B48="Unrestricted",NOT(N48="Common Space")),E48*F48,"")</f>
        <v/>
      </c>
      <c r="HB48" s="251" t="str">
        <f t="shared" ref="HB48:HB51" si="422">IF(AND(C48=1,B48="Unrestricted",NOT(N48="Common Space")),E48*F48,"")</f>
        <v/>
      </c>
      <c r="HC48" s="251" t="str">
        <f t="shared" ref="HC48:HC51" si="423">IF(AND(C48=2,B48="Unrestricted",NOT(N48="Common Space")),E48*F48,"")</f>
        <v/>
      </c>
      <c r="HD48" s="251" t="str">
        <f t="shared" ref="HD48:HD51" si="424">IF(AND(C48=3,B48="Unrestricted",NOT(N48="Common Space")),E48*F48,"")</f>
        <v/>
      </c>
      <c r="HE48" s="251" t="str">
        <f t="shared" ref="HE48:HE51" si="425">IF(AND(C48=4,B48="Unrestricted",NOT(N48="Common Space")),E48*F48,"")</f>
        <v/>
      </c>
      <c r="HF48" s="251" t="str">
        <f t="shared" ref="HF48:HF51" si="426">IF(AND(C48="Efficiency",NOT(K48=""),NOT($K48=0),NOT(N48="Common Space")),E48*F48,"")</f>
        <v/>
      </c>
      <c r="HG48" s="251" t="str">
        <f t="shared" ref="HG48:HG51" si="427">IF(AND(C48=1,NOT(K48=""),NOT($K48=0),NOT(N48="Common Space")),E48*F48,"")</f>
        <v/>
      </c>
      <c r="HH48" s="251" t="str">
        <f t="shared" ref="HH48:HH51" si="428">IF(AND(C48=2,NOT(K48=""),NOT($K48=0),NOT(N48="Common Space")),E48*F48,"")</f>
        <v/>
      </c>
      <c r="HI48" s="251" t="str">
        <f t="shared" ref="HI48:HI51" si="429">IF(AND(C48=3,NOT(K48=""),NOT($K48=0),NOT(N48="Common Space")),E48*F48,"")</f>
        <v/>
      </c>
      <c r="HJ48" s="251" t="str">
        <f t="shared" ref="HJ48:HJ51" si="430">IF(AND(C48=4,NOT(K48=""),NOT($K48=0),NOT(N48="Common Space")),E48*F48,"")</f>
        <v/>
      </c>
      <c r="HK48" s="251" t="str">
        <f t="shared" ref="HK48:HK51" si="431">IF(AND(C48="Efficiency",N48="Common Space"),E48*F48,"")</f>
        <v/>
      </c>
      <c r="HL48" s="251" t="str">
        <f t="shared" ref="HL48:HL51" si="432">IF(AND(C48=1,N48="Common Space"),E48*F48,"")</f>
        <v/>
      </c>
      <c r="HM48" s="251" t="str">
        <f t="shared" ref="HM48:HM51" si="433">IF(AND(C48=2,N48="Common Space"),E48*F48,"")</f>
        <v/>
      </c>
      <c r="HN48" s="251" t="str">
        <f t="shared" ref="HN48:HN51" si="434">IF(AND(C48=3,N48="Common Space"),E48*F48,"")</f>
        <v/>
      </c>
      <c r="HO48" s="251" t="str">
        <f t="shared" ref="HO48:HO51" si="435">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6">IF(AND(C48="Efficiency",B48="NSP 120% AMI",NOT(N48="Common Space")),E48*F48,"")</f>
        <v/>
      </c>
      <c r="MV48" s="251" t="str">
        <f t="shared" ref="MV48:MV51" si="437">IF(AND(C48=1,B48="NSP 120% AMI",NOT(N48="Common Space")),E48*F48,"")</f>
        <v/>
      </c>
      <c r="MW48" s="251" t="str">
        <f t="shared" ref="MW48:MW51" si="438">IF(AND(C48=2,B48="NSP 120% AMI",NOT(N48="Common Space")),E48*F48,"")</f>
        <v/>
      </c>
      <c r="MX48" s="251" t="str">
        <f t="shared" ref="MX48:MX51" si="439">IF(AND(C48=3,B48="NSP 120% AMI",NOT(N48="Common Space")),E48*F48,"")</f>
        <v/>
      </c>
      <c r="MY48" s="251" t="str">
        <f t="shared" ref="MY48:MY51" si="440">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1194</v>
      </c>
      <c r="OZ48" s="1798">
        <v>48</v>
      </c>
    </row>
    <row r="49" spans="1:416" ht="12" customHeight="1">
      <c r="A49" s="53" t="str">
        <f t="shared" si="373"/>
        <v/>
      </c>
      <c r="B49" s="782"/>
      <c r="C49" s="85"/>
      <c r="D49" s="1187"/>
      <c r="E49" s="86"/>
      <c r="F49" s="86"/>
      <c r="G49" s="86"/>
      <c r="H49" s="86"/>
      <c r="I49" s="86"/>
      <c r="J49" s="765">
        <f>IF(C49="",0,HLOOKUP(C49,'Part IV-Utility Allowances'!$I$11:$M$25,15))</f>
        <v>0</v>
      </c>
      <c r="K49" s="473"/>
      <c r="L49" s="330">
        <f t="shared" si="374"/>
        <v>0</v>
      </c>
      <c r="M49" s="330">
        <f t="shared" si="375"/>
        <v>0</v>
      </c>
      <c r="N49" s="506"/>
      <c r="O49" s="1134"/>
      <c r="P49" s="506"/>
      <c r="Q49" s="87"/>
      <c r="R49" s="540"/>
      <c r="S49" s="541"/>
      <c r="T49" s="3916"/>
      <c r="U49" s="3917"/>
      <c r="V49" s="3917"/>
      <c r="W49" s="3918"/>
      <c r="X49" s="251" t="str">
        <f t="shared" si="376"/>
        <v/>
      </c>
      <c r="Y49" s="251" t="str">
        <f t="shared" si="377"/>
        <v/>
      </c>
      <c r="Z49" s="251" t="str">
        <f t="shared" si="378"/>
        <v/>
      </c>
      <c r="AA49" s="251" t="str">
        <f t="shared" si="379"/>
        <v/>
      </c>
      <c r="AB49" s="251" t="str">
        <f t="shared" si="380"/>
        <v/>
      </c>
      <c r="AC49" s="251" t="str">
        <f t="shared" si="381"/>
        <v/>
      </c>
      <c r="AD49" s="251" t="str">
        <f t="shared" si="382"/>
        <v/>
      </c>
      <c r="AE49" s="251" t="str">
        <f t="shared" si="383"/>
        <v/>
      </c>
      <c r="AF49" s="251" t="str">
        <f t="shared" si="384"/>
        <v/>
      </c>
      <c r="AG49" s="251" t="str">
        <f t="shared" si="385"/>
        <v/>
      </c>
      <c r="AH49" s="251" t="str">
        <f t="shared" si="386"/>
        <v/>
      </c>
      <c r="AI49" s="251" t="str">
        <f t="shared" si="387"/>
        <v/>
      </c>
      <c r="AJ49" s="251" t="str">
        <f t="shared" si="388"/>
        <v/>
      </c>
      <c r="AK49" s="251" t="str">
        <f t="shared" si="389"/>
        <v/>
      </c>
      <c r="AL49" s="251" t="str">
        <f t="shared" si="390"/>
        <v/>
      </c>
      <c r="AM49" s="251" t="str">
        <f t="shared" si="391"/>
        <v/>
      </c>
      <c r="AN49" s="251" t="str">
        <f t="shared" si="392"/>
        <v/>
      </c>
      <c r="AO49" s="251" t="str">
        <f t="shared" si="393"/>
        <v/>
      </c>
      <c r="AP49" s="251" t="str">
        <f t="shared" si="394"/>
        <v/>
      </c>
      <c r="AQ49" s="251" t="str">
        <f t="shared" si="395"/>
        <v/>
      </c>
      <c r="AR49" s="251" t="str">
        <f t="shared" si="396"/>
        <v/>
      </c>
      <c r="AS49" s="251" t="str">
        <f t="shared" si="397"/>
        <v/>
      </c>
      <c r="AT49" s="251" t="str">
        <f t="shared" si="398"/>
        <v/>
      </c>
      <c r="AU49" s="251" t="str">
        <f t="shared" si="399"/>
        <v/>
      </c>
      <c r="AV49" s="251" t="str">
        <f t="shared" si="400"/>
        <v/>
      </c>
      <c r="AW49" s="251" t="str">
        <f t="shared" si="401"/>
        <v/>
      </c>
      <c r="AX49" s="251" t="str">
        <f t="shared" si="402"/>
        <v/>
      </c>
      <c r="AY49" s="251" t="str">
        <f t="shared" si="403"/>
        <v/>
      </c>
      <c r="AZ49" s="251" t="str">
        <f t="shared" si="404"/>
        <v/>
      </c>
      <c r="BA49" s="251" t="str">
        <f t="shared" si="405"/>
        <v/>
      </c>
      <c r="BB49" s="251" t="str">
        <f t="shared" si="406"/>
        <v/>
      </c>
      <c r="BC49" s="251" t="str">
        <f t="shared" si="407"/>
        <v/>
      </c>
      <c r="BD49" s="251" t="str">
        <f t="shared" si="408"/>
        <v/>
      </c>
      <c r="BE49" s="251" t="str">
        <f t="shared" si="409"/>
        <v/>
      </c>
      <c r="BF49" s="251" t="str">
        <f t="shared" si="410"/>
        <v/>
      </c>
      <c r="BG49" s="251" t="str">
        <f t="shared" si="411"/>
        <v/>
      </c>
      <c r="BH49" s="251" t="str">
        <f t="shared" si="412"/>
        <v/>
      </c>
      <c r="BI49" s="251" t="str">
        <f t="shared" si="413"/>
        <v/>
      </c>
      <c r="BJ49" s="251" t="str">
        <f t="shared" si="414"/>
        <v/>
      </c>
      <c r="BK49" s="251" t="str">
        <f t="shared" si="415"/>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6"/>
        <v/>
      </c>
      <c r="FN49" s="251" t="str">
        <f t="shared" si="417"/>
        <v/>
      </c>
      <c r="FO49" s="251" t="str">
        <f t="shared" si="418"/>
        <v/>
      </c>
      <c r="FP49" s="251" t="str">
        <f t="shared" si="419"/>
        <v/>
      </c>
      <c r="FQ49" s="251" t="str">
        <f t="shared" si="420"/>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1"/>
        <v/>
      </c>
      <c r="HB49" s="251" t="str">
        <f t="shared" si="422"/>
        <v/>
      </c>
      <c r="HC49" s="251" t="str">
        <f t="shared" si="423"/>
        <v/>
      </c>
      <c r="HD49" s="251" t="str">
        <f t="shared" si="424"/>
        <v/>
      </c>
      <c r="HE49" s="251" t="str">
        <f t="shared" si="425"/>
        <v/>
      </c>
      <c r="HF49" s="251" t="str">
        <f t="shared" si="426"/>
        <v/>
      </c>
      <c r="HG49" s="251" t="str">
        <f t="shared" si="427"/>
        <v/>
      </c>
      <c r="HH49" s="251" t="str">
        <f t="shared" si="428"/>
        <v/>
      </c>
      <c r="HI49" s="251" t="str">
        <f t="shared" si="429"/>
        <v/>
      </c>
      <c r="HJ49" s="251" t="str">
        <f t="shared" si="430"/>
        <v/>
      </c>
      <c r="HK49" s="251" t="str">
        <f t="shared" si="431"/>
        <v/>
      </c>
      <c r="HL49" s="251" t="str">
        <f t="shared" si="432"/>
        <v/>
      </c>
      <c r="HM49" s="251" t="str">
        <f t="shared" si="433"/>
        <v/>
      </c>
      <c r="HN49" s="251" t="str">
        <f t="shared" si="434"/>
        <v/>
      </c>
      <c r="HO49" s="251" t="str">
        <f t="shared" si="435"/>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6"/>
        <v/>
      </c>
      <c r="MV49" s="251" t="str">
        <f t="shared" si="437"/>
        <v/>
      </c>
      <c r="MW49" s="251" t="str">
        <f t="shared" si="438"/>
        <v/>
      </c>
      <c r="MX49" s="251" t="str">
        <f t="shared" si="439"/>
        <v/>
      </c>
      <c r="MY49" s="251" t="str">
        <f t="shared" si="440"/>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1192</v>
      </c>
      <c r="OZ49" s="1799">
        <v>49</v>
      </c>
    </row>
    <row r="50" spans="1:416" ht="12" customHeight="1">
      <c r="A50" s="53" t="str">
        <f t="shared" si="373"/>
        <v/>
      </c>
      <c r="B50" s="782"/>
      <c r="C50" s="85"/>
      <c r="D50" s="1187"/>
      <c r="E50" s="86"/>
      <c r="F50" s="86"/>
      <c r="G50" s="86"/>
      <c r="H50" s="86"/>
      <c r="I50" s="86"/>
      <c r="J50" s="765">
        <f>IF(C50="",0,HLOOKUP(C50,'Part IV-Utility Allowances'!$I$11:$M$25,15))</f>
        <v>0</v>
      </c>
      <c r="K50" s="473"/>
      <c r="L50" s="330">
        <f t="shared" si="374"/>
        <v>0</v>
      </c>
      <c r="M50" s="330">
        <f t="shared" si="375"/>
        <v>0</v>
      </c>
      <c r="N50" s="506"/>
      <c r="O50" s="1134"/>
      <c r="P50" s="506"/>
      <c r="Q50" s="87"/>
      <c r="R50" s="540"/>
      <c r="S50" s="541"/>
      <c r="T50" s="3916"/>
      <c r="U50" s="3917"/>
      <c r="V50" s="3917"/>
      <c r="W50" s="3918"/>
      <c r="X50" s="251" t="str">
        <f t="shared" si="376"/>
        <v/>
      </c>
      <c r="Y50" s="251" t="str">
        <f t="shared" si="377"/>
        <v/>
      </c>
      <c r="Z50" s="251" t="str">
        <f t="shared" si="378"/>
        <v/>
      </c>
      <c r="AA50" s="251" t="str">
        <f t="shared" si="379"/>
        <v/>
      </c>
      <c r="AB50" s="251" t="str">
        <f t="shared" si="380"/>
        <v/>
      </c>
      <c r="AC50" s="251" t="str">
        <f t="shared" si="381"/>
        <v/>
      </c>
      <c r="AD50" s="251" t="str">
        <f t="shared" si="382"/>
        <v/>
      </c>
      <c r="AE50" s="251" t="str">
        <f t="shared" si="383"/>
        <v/>
      </c>
      <c r="AF50" s="251" t="str">
        <f t="shared" si="384"/>
        <v/>
      </c>
      <c r="AG50" s="251" t="str">
        <f t="shared" si="385"/>
        <v/>
      </c>
      <c r="AH50" s="251" t="str">
        <f t="shared" si="386"/>
        <v/>
      </c>
      <c r="AI50" s="251" t="str">
        <f t="shared" si="387"/>
        <v/>
      </c>
      <c r="AJ50" s="251" t="str">
        <f t="shared" si="388"/>
        <v/>
      </c>
      <c r="AK50" s="251" t="str">
        <f t="shared" si="389"/>
        <v/>
      </c>
      <c r="AL50" s="251" t="str">
        <f t="shared" si="390"/>
        <v/>
      </c>
      <c r="AM50" s="251" t="str">
        <f t="shared" si="391"/>
        <v/>
      </c>
      <c r="AN50" s="251" t="str">
        <f t="shared" si="392"/>
        <v/>
      </c>
      <c r="AO50" s="251" t="str">
        <f t="shared" si="393"/>
        <v/>
      </c>
      <c r="AP50" s="251" t="str">
        <f t="shared" si="394"/>
        <v/>
      </c>
      <c r="AQ50" s="251" t="str">
        <f t="shared" si="395"/>
        <v/>
      </c>
      <c r="AR50" s="251" t="str">
        <f t="shared" si="396"/>
        <v/>
      </c>
      <c r="AS50" s="251" t="str">
        <f t="shared" si="397"/>
        <v/>
      </c>
      <c r="AT50" s="251" t="str">
        <f t="shared" si="398"/>
        <v/>
      </c>
      <c r="AU50" s="251" t="str">
        <f t="shared" si="399"/>
        <v/>
      </c>
      <c r="AV50" s="251" t="str">
        <f t="shared" si="400"/>
        <v/>
      </c>
      <c r="AW50" s="251" t="str">
        <f t="shared" si="401"/>
        <v/>
      </c>
      <c r="AX50" s="251" t="str">
        <f t="shared" si="402"/>
        <v/>
      </c>
      <c r="AY50" s="251" t="str">
        <f t="shared" si="403"/>
        <v/>
      </c>
      <c r="AZ50" s="251" t="str">
        <f t="shared" si="404"/>
        <v/>
      </c>
      <c r="BA50" s="251" t="str">
        <f t="shared" si="405"/>
        <v/>
      </c>
      <c r="BB50" s="251" t="str">
        <f t="shared" si="406"/>
        <v/>
      </c>
      <c r="BC50" s="251" t="str">
        <f t="shared" si="407"/>
        <v/>
      </c>
      <c r="BD50" s="251" t="str">
        <f t="shared" si="408"/>
        <v/>
      </c>
      <c r="BE50" s="251" t="str">
        <f t="shared" si="409"/>
        <v/>
      </c>
      <c r="BF50" s="251" t="str">
        <f t="shared" si="410"/>
        <v/>
      </c>
      <c r="BG50" s="251" t="str">
        <f t="shared" si="411"/>
        <v/>
      </c>
      <c r="BH50" s="251" t="str">
        <f t="shared" si="412"/>
        <v/>
      </c>
      <c r="BI50" s="251" t="str">
        <f t="shared" si="413"/>
        <v/>
      </c>
      <c r="BJ50" s="251" t="str">
        <f t="shared" si="414"/>
        <v/>
      </c>
      <c r="BK50" s="251" t="str">
        <f t="shared" si="415"/>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6"/>
        <v/>
      </c>
      <c r="FN50" s="251" t="str">
        <f t="shared" si="417"/>
        <v/>
      </c>
      <c r="FO50" s="251" t="str">
        <f t="shared" si="418"/>
        <v/>
      </c>
      <c r="FP50" s="251" t="str">
        <f t="shared" si="419"/>
        <v/>
      </c>
      <c r="FQ50" s="251" t="str">
        <f t="shared" si="420"/>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1"/>
        <v/>
      </c>
      <c r="HB50" s="251" t="str">
        <f t="shared" si="422"/>
        <v/>
      </c>
      <c r="HC50" s="251" t="str">
        <f t="shared" si="423"/>
        <v/>
      </c>
      <c r="HD50" s="251" t="str">
        <f t="shared" si="424"/>
        <v/>
      </c>
      <c r="HE50" s="251" t="str">
        <f t="shared" si="425"/>
        <v/>
      </c>
      <c r="HF50" s="251" t="str">
        <f t="shared" si="426"/>
        <v/>
      </c>
      <c r="HG50" s="251" t="str">
        <f t="shared" si="427"/>
        <v/>
      </c>
      <c r="HH50" s="251" t="str">
        <f t="shared" si="428"/>
        <v/>
      </c>
      <c r="HI50" s="251" t="str">
        <f t="shared" si="429"/>
        <v/>
      </c>
      <c r="HJ50" s="251" t="str">
        <f t="shared" si="430"/>
        <v/>
      </c>
      <c r="HK50" s="251" t="str">
        <f t="shared" si="431"/>
        <v/>
      </c>
      <c r="HL50" s="251" t="str">
        <f t="shared" si="432"/>
        <v/>
      </c>
      <c r="HM50" s="251" t="str">
        <f t="shared" si="433"/>
        <v/>
      </c>
      <c r="HN50" s="251" t="str">
        <f t="shared" si="434"/>
        <v/>
      </c>
      <c r="HO50" s="251" t="str">
        <f t="shared" si="435"/>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6"/>
        <v/>
      </c>
      <c r="MV50" s="251" t="str">
        <f t="shared" si="437"/>
        <v/>
      </c>
      <c r="MW50" s="251" t="str">
        <f t="shared" si="438"/>
        <v/>
      </c>
      <c r="MX50" s="251" t="str">
        <f t="shared" si="439"/>
        <v/>
      </c>
      <c r="MY50" s="251" t="str">
        <f t="shared" si="440"/>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1193</v>
      </c>
      <c r="OZ50" s="1799">
        <v>50</v>
      </c>
    </row>
    <row r="51" spans="1:416" ht="12" customHeight="1">
      <c r="A51" s="53" t="str">
        <f t="shared" si="373"/>
        <v/>
      </c>
      <c r="B51" s="782"/>
      <c r="C51" s="85"/>
      <c r="D51" s="1187"/>
      <c r="E51" s="86"/>
      <c r="F51" s="86"/>
      <c r="G51" s="86"/>
      <c r="H51" s="86"/>
      <c r="I51" s="86"/>
      <c r="J51" s="765">
        <f>IF(C51="",0,HLOOKUP(C51,'Part IV-Utility Allowances'!$I$11:$M$25,15))</f>
        <v>0</v>
      </c>
      <c r="K51" s="473"/>
      <c r="L51" s="330">
        <f t="shared" si="374"/>
        <v>0</v>
      </c>
      <c r="M51" s="330">
        <f t="shared" si="375"/>
        <v>0</v>
      </c>
      <c r="N51" s="506"/>
      <c r="O51" s="1134"/>
      <c r="P51" s="506"/>
      <c r="Q51" s="87"/>
      <c r="R51" s="540"/>
      <c r="S51" s="541"/>
      <c r="T51" s="3916"/>
      <c r="U51" s="3917"/>
      <c r="V51" s="3917"/>
      <c r="W51" s="3918"/>
      <c r="X51" s="251" t="str">
        <f t="shared" si="376"/>
        <v/>
      </c>
      <c r="Y51" s="251" t="str">
        <f t="shared" si="377"/>
        <v/>
      </c>
      <c r="Z51" s="251" t="str">
        <f t="shared" si="378"/>
        <v/>
      </c>
      <c r="AA51" s="251" t="str">
        <f t="shared" si="379"/>
        <v/>
      </c>
      <c r="AB51" s="251" t="str">
        <f t="shared" si="380"/>
        <v/>
      </c>
      <c r="AC51" s="251" t="str">
        <f t="shared" si="381"/>
        <v/>
      </c>
      <c r="AD51" s="251" t="str">
        <f t="shared" si="382"/>
        <v/>
      </c>
      <c r="AE51" s="251" t="str">
        <f t="shared" si="383"/>
        <v/>
      </c>
      <c r="AF51" s="251" t="str">
        <f t="shared" si="384"/>
        <v/>
      </c>
      <c r="AG51" s="251" t="str">
        <f t="shared" si="385"/>
        <v/>
      </c>
      <c r="AH51" s="251" t="str">
        <f t="shared" si="386"/>
        <v/>
      </c>
      <c r="AI51" s="251" t="str">
        <f t="shared" si="387"/>
        <v/>
      </c>
      <c r="AJ51" s="251" t="str">
        <f t="shared" si="388"/>
        <v/>
      </c>
      <c r="AK51" s="251" t="str">
        <f t="shared" si="389"/>
        <v/>
      </c>
      <c r="AL51" s="251" t="str">
        <f t="shared" si="390"/>
        <v/>
      </c>
      <c r="AM51" s="251" t="str">
        <f t="shared" si="391"/>
        <v/>
      </c>
      <c r="AN51" s="251" t="str">
        <f t="shared" si="392"/>
        <v/>
      </c>
      <c r="AO51" s="251" t="str">
        <f t="shared" si="393"/>
        <v/>
      </c>
      <c r="AP51" s="251" t="str">
        <f t="shared" si="394"/>
        <v/>
      </c>
      <c r="AQ51" s="251" t="str">
        <f t="shared" si="395"/>
        <v/>
      </c>
      <c r="AR51" s="251" t="str">
        <f t="shared" si="396"/>
        <v/>
      </c>
      <c r="AS51" s="251" t="str">
        <f t="shared" si="397"/>
        <v/>
      </c>
      <c r="AT51" s="251" t="str">
        <f t="shared" si="398"/>
        <v/>
      </c>
      <c r="AU51" s="251" t="str">
        <f t="shared" si="399"/>
        <v/>
      </c>
      <c r="AV51" s="251" t="str">
        <f t="shared" si="400"/>
        <v/>
      </c>
      <c r="AW51" s="251" t="str">
        <f t="shared" si="401"/>
        <v/>
      </c>
      <c r="AX51" s="251" t="str">
        <f t="shared" si="402"/>
        <v/>
      </c>
      <c r="AY51" s="251" t="str">
        <f t="shared" si="403"/>
        <v/>
      </c>
      <c r="AZ51" s="251" t="str">
        <f t="shared" si="404"/>
        <v/>
      </c>
      <c r="BA51" s="251" t="str">
        <f t="shared" si="405"/>
        <v/>
      </c>
      <c r="BB51" s="251" t="str">
        <f t="shared" si="406"/>
        <v/>
      </c>
      <c r="BC51" s="251" t="str">
        <f t="shared" si="407"/>
        <v/>
      </c>
      <c r="BD51" s="251" t="str">
        <f t="shared" si="408"/>
        <v/>
      </c>
      <c r="BE51" s="251" t="str">
        <f t="shared" si="409"/>
        <v/>
      </c>
      <c r="BF51" s="251" t="str">
        <f t="shared" si="410"/>
        <v/>
      </c>
      <c r="BG51" s="251" t="str">
        <f t="shared" si="411"/>
        <v/>
      </c>
      <c r="BH51" s="251" t="str">
        <f t="shared" si="412"/>
        <v/>
      </c>
      <c r="BI51" s="251" t="str">
        <f t="shared" si="413"/>
        <v/>
      </c>
      <c r="BJ51" s="251" t="str">
        <f t="shared" si="414"/>
        <v/>
      </c>
      <c r="BK51" s="251" t="str">
        <f t="shared" si="415"/>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6"/>
        <v/>
      </c>
      <c r="FN51" s="251" t="str">
        <f t="shared" si="417"/>
        <v/>
      </c>
      <c r="FO51" s="251" t="str">
        <f t="shared" si="418"/>
        <v/>
      </c>
      <c r="FP51" s="251" t="str">
        <f t="shared" si="419"/>
        <v/>
      </c>
      <c r="FQ51" s="251" t="str">
        <f t="shared" si="420"/>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1"/>
        <v/>
      </c>
      <c r="HB51" s="251" t="str">
        <f t="shared" si="422"/>
        <v/>
      </c>
      <c r="HC51" s="251" t="str">
        <f t="shared" si="423"/>
        <v/>
      </c>
      <c r="HD51" s="251" t="str">
        <f t="shared" si="424"/>
        <v/>
      </c>
      <c r="HE51" s="251" t="str">
        <f t="shared" si="425"/>
        <v/>
      </c>
      <c r="HF51" s="251" t="str">
        <f t="shared" si="426"/>
        <v/>
      </c>
      <c r="HG51" s="251" t="str">
        <f t="shared" si="427"/>
        <v/>
      </c>
      <c r="HH51" s="251" t="str">
        <f t="shared" si="428"/>
        <v/>
      </c>
      <c r="HI51" s="251" t="str">
        <f t="shared" si="429"/>
        <v/>
      </c>
      <c r="HJ51" s="251" t="str">
        <f t="shared" si="430"/>
        <v/>
      </c>
      <c r="HK51" s="251" t="str">
        <f t="shared" si="431"/>
        <v/>
      </c>
      <c r="HL51" s="251" t="str">
        <f t="shared" si="432"/>
        <v/>
      </c>
      <c r="HM51" s="251" t="str">
        <f t="shared" si="433"/>
        <v/>
      </c>
      <c r="HN51" s="251" t="str">
        <f t="shared" si="434"/>
        <v/>
      </c>
      <c r="HO51" s="251" t="str">
        <f t="shared" si="435"/>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6"/>
        <v/>
      </c>
      <c r="MV51" s="251" t="str">
        <f t="shared" si="437"/>
        <v/>
      </c>
      <c r="MW51" s="251" t="str">
        <f t="shared" si="438"/>
        <v/>
      </c>
      <c r="MX51" s="251" t="str">
        <f t="shared" si="439"/>
        <v/>
      </c>
      <c r="MY51" s="251" t="str">
        <f t="shared" si="440"/>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1194</v>
      </c>
      <c r="OZ51" s="1798">
        <v>51</v>
      </c>
    </row>
    <row r="52" spans="1:416" ht="12" customHeight="1">
      <c r="A52" s="53" t="str">
        <f t="shared" ref="A52:A53" si="441">IF(AND(E52&gt;0,OR(B52="",C52="",D52="",F52="",G52="", H52="",I52="",N52="",O52="",P52="",Q52="")),1,"")</f>
        <v/>
      </c>
      <c r="B52" s="782"/>
      <c r="C52" s="85"/>
      <c r="D52" s="1187"/>
      <c r="E52" s="86"/>
      <c r="F52" s="86"/>
      <c r="G52" s="86"/>
      <c r="H52" s="86"/>
      <c r="I52" s="86"/>
      <c r="J52" s="765">
        <f>IF(C52="",0,HLOOKUP(C52,'Part IV-Utility Allowances'!$I$11:$M$25,15))</f>
        <v>0</v>
      </c>
      <c r="K52" s="473"/>
      <c r="L52" s="330">
        <f t="shared" ref="L52:L53" si="442">MAX(0,H52-I52-J52)</f>
        <v>0</v>
      </c>
      <c r="M52" s="330">
        <f t="shared" ref="M52:M53" si="443">MAX(0,E52*L52)</f>
        <v>0</v>
      </c>
      <c r="N52" s="506"/>
      <c r="O52" s="1134"/>
      <c r="P52" s="506"/>
      <c r="Q52" s="87"/>
      <c r="R52" s="540"/>
      <c r="S52" s="541"/>
      <c r="T52" s="3916"/>
      <c r="U52" s="3917"/>
      <c r="V52" s="3917"/>
      <c r="W52" s="3918"/>
      <c r="X52" s="251" t="str">
        <f t="shared" ref="X52:X53" si="444">IF(AND(C52="Efficiency",B52=80,NOT(N52="Common Space")),E52,"")</f>
        <v/>
      </c>
      <c r="Y52" s="251" t="str">
        <f t="shared" ref="Y52:Y53" si="445">IF(AND(C52=1,B52=80,NOT(N52="Common Space")),E52,"")</f>
        <v/>
      </c>
      <c r="Z52" s="251" t="str">
        <f t="shared" ref="Z52:Z53" si="446">IF(AND(C52=2,B52=80,NOT(N52="Common Space")),E52,"")</f>
        <v/>
      </c>
      <c r="AA52" s="251" t="str">
        <f t="shared" ref="AA52:AA53" si="447">IF(AND(C52=3,B52=80,NOT(N52="Common Space")),E52,"")</f>
        <v/>
      </c>
      <c r="AB52" s="251" t="str">
        <f t="shared" ref="AB52:AB53" si="448">IF(AND(C52=4,B52=80,NOT(N52="Common Space")),E52,"")</f>
        <v/>
      </c>
      <c r="AC52" s="251" t="str">
        <f t="shared" ref="AC52:AC53" si="449">IF(AND(C52="Efficiency",B52=70,NOT(N52="Common Space")),E52,"")</f>
        <v/>
      </c>
      <c r="AD52" s="251" t="str">
        <f t="shared" ref="AD52:AD53" si="450">IF(AND(C52=1,B52=70,NOT(N52="Common Space")),E52,"")</f>
        <v/>
      </c>
      <c r="AE52" s="251" t="str">
        <f t="shared" ref="AE52:AE53" si="451">IF(AND(C52=2,B52=70,NOT(N52="Common Space")),E52,"")</f>
        <v/>
      </c>
      <c r="AF52" s="251" t="str">
        <f t="shared" ref="AF52:AF53" si="452">IF(AND(C52=3,B52=70,NOT(N52="Common Space")),E52,"")</f>
        <v/>
      </c>
      <c r="AG52" s="251" t="str">
        <f t="shared" ref="AG52:AG53" si="453">IF(AND(C52=4,B52=70,NOT(N52="Common Space")),E52,"")</f>
        <v/>
      </c>
      <c r="AH52" s="251" t="str">
        <f t="shared" ref="AH52:AH53" si="454">IF(AND(C52="Efficiency",B52=60,NOT(N52="Common Space")),E52,"")</f>
        <v/>
      </c>
      <c r="AI52" s="251" t="str">
        <f t="shared" ref="AI52:AI53" si="455">IF(AND(C52=1,B52=60,NOT(N52="Common Space")),E52,"")</f>
        <v/>
      </c>
      <c r="AJ52" s="251" t="str">
        <f t="shared" ref="AJ52:AJ53" si="456">IF(AND(C52=2,B52=60,NOT(N52="Common Space")),E52,"")</f>
        <v/>
      </c>
      <c r="AK52" s="251" t="str">
        <f t="shared" ref="AK52:AK53" si="457">IF(AND(C52=3,B52=60,NOT(N52="Common Space")),E52,"")</f>
        <v/>
      </c>
      <c r="AL52" s="251" t="str">
        <f t="shared" ref="AL52:AL53" si="458">IF(AND(C52=4,B52=60,NOT(N52="Common Space")),E52,"")</f>
        <v/>
      </c>
      <c r="AM52" s="251" t="str">
        <f t="shared" ref="AM52:AM53" si="459">IF(AND(C52="Efficiency",B52=50,NOT(N52="Common Space")),E52,"")</f>
        <v/>
      </c>
      <c r="AN52" s="251" t="str">
        <f t="shared" ref="AN52:AN53" si="460">IF(AND(C52=1,B52=50,NOT(N52="Common Space")),E52,"")</f>
        <v/>
      </c>
      <c r="AO52" s="251" t="str">
        <f t="shared" ref="AO52:AO53" si="461">IF(AND(C52=2,B52=50,NOT(N52="Common Space")),E52,"")</f>
        <v/>
      </c>
      <c r="AP52" s="251" t="str">
        <f t="shared" ref="AP52:AP53" si="462">IF(AND(C52=3,B52=50,NOT(N52="Common Space")),E52,"")</f>
        <v/>
      </c>
      <c r="AQ52" s="251" t="str">
        <f t="shared" ref="AQ52:AQ53" si="463">IF(AND(C52=4,B52=50,NOT(N52="Common Space")),E52,"")</f>
        <v/>
      </c>
      <c r="AR52" s="251" t="str">
        <f t="shared" ref="AR52:AR53" si="464">IF(AND(C52="Efficiency",B52=40,NOT(N52="Common Space")),E52,"")</f>
        <v/>
      </c>
      <c r="AS52" s="251" t="str">
        <f t="shared" ref="AS52:AS53" si="465">IF(AND(C52=1,B52=40,NOT(N52="Common Space")),E52,"")</f>
        <v/>
      </c>
      <c r="AT52" s="251" t="str">
        <f t="shared" ref="AT52:AT53" si="466">IF(AND(C52=2,B52=40,NOT(N52="Common Space")),E52,"")</f>
        <v/>
      </c>
      <c r="AU52" s="251" t="str">
        <f t="shared" ref="AU52:AU53" si="467">IF(AND(C52=3,B52=40,NOT(N52="Common Space")),E52,"")</f>
        <v/>
      </c>
      <c r="AV52" s="251" t="str">
        <f t="shared" ref="AV52:AV53" si="468">IF(AND(C52=4,B52=40,NOT(N52="Common Space")),E52,"")</f>
        <v/>
      </c>
      <c r="AW52" s="251" t="str">
        <f t="shared" ref="AW52:AW53" si="469">IF(AND(C52="Efficiency",B52=30,NOT(N52="Common Space")),E52,"")</f>
        <v/>
      </c>
      <c r="AX52" s="251" t="str">
        <f t="shared" ref="AX52:AX53" si="470">IF(AND(C52=1,B52=30,NOT(N52="Common Space")),E52,"")</f>
        <v/>
      </c>
      <c r="AY52" s="251" t="str">
        <f t="shared" ref="AY52:AY53" si="471">IF(AND(C52=2,B52=30,NOT(N52="Common Space")),E52,"")</f>
        <v/>
      </c>
      <c r="AZ52" s="251" t="str">
        <f t="shared" ref="AZ52:AZ53" si="472">IF(AND(C52=3,B52=30,NOT(N52="Common Space")),E52,"")</f>
        <v/>
      </c>
      <c r="BA52" s="251" t="str">
        <f t="shared" ref="BA52:BA53" si="473">IF(AND(C52=4,B52=30,NOT(N52="Common Space")),E52,"")</f>
        <v/>
      </c>
      <c r="BB52" s="251" t="str">
        <f t="shared" ref="BB52:BB53" si="474">IF(AND(C52="Efficiency",B52=20,NOT(N52="Common Space")),E52,"")</f>
        <v/>
      </c>
      <c r="BC52" s="251" t="str">
        <f t="shared" ref="BC52:BC53" si="475">IF(AND(C52=1,B52=20,NOT(N52="Common Space")),E52,"")</f>
        <v/>
      </c>
      <c r="BD52" s="251" t="str">
        <f t="shared" ref="BD52:BD53" si="476">IF(AND(C52=2,B52=20,NOT(N52="Common Space")),E52,"")</f>
        <v/>
      </c>
      <c r="BE52" s="251" t="str">
        <f t="shared" ref="BE52:BE53" si="477">IF(AND(C52=3,B52=20,NOT(N52="Common Space")),E52,"")</f>
        <v/>
      </c>
      <c r="BF52" s="251" t="str">
        <f t="shared" ref="BF52:BF53" si="478">IF(AND(C52=4,B52=20,NOT(N52="Common Space")),E52,"")</f>
        <v/>
      </c>
      <c r="BG52" s="251" t="str">
        <f t="shared" ref="BG52:BG53" si="479">IF(AND(C52="Efficiency",B52="Unrestricted",NOT(N52="Common Space")),E52,"")</f>
        <v/>
      </c>
      <c r="BH52" s="251" t="str">
        <f t="shared" ref="BH52:BH53" si="480">IF(AND(C52=1,B52="Unrestricted",NOT(N52="Common Space")),E52,"")</f>
        <v/>
      </c>
      <c r="BI52" s="251" t="str">
        <f t="shared" ref="BI52:BI53" si="481">IF(AND(C52=2,B52="Unrestricted",NOT(N52="Common Space")),E52,"")</f>
        <v/>
      </c>
      <c r="BJ52" s="251" t="str">
        <f t="shared" ref="BJ52:BJ53" si="482">IF(AND(C52=3,B52="Unrestricted",NOT(N52="Common Space")),E52,"")</f>
        <v/>
      </c>
      <c r="BK52" s="251" t="str">
        <f t="shared" ref="BK52:BK53" si="483">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4">IF(AND(C52="Efficiency",N52="Common Space"),E52,"")</f>
        <v/>
      </c>
      <c r="FN52" s="251" t="str">
        <f t="shared" ref="FN52:FN53" si="485">IF(AND(C52=1,N52="Common Space"),E52,"")</f>
        <v/>
      </c>
      <c r="FO52" s="251" t="str">
        <f t="shared" ref="FO52:FO53" si="486">IF(AND(C52=2,N52="Common Space"),E52,"")</f>
        <v/>
      </c>
      <c r="FP52" s="251" t="str">
        <f t="shared" ref="FP52:FP53" si="487">IF(AND(C52=3,N52="Common Space"),E52,"")</f>
        <v/>
      </c>
      <c r="FQ52" s="251" t="str">
        <f t="shared" ref="FQ52:FQ53" si="488">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89">IF(AND(C52="Efficiency",B52="Unrestricted",NOT(N52="Common Space")),E52*F52,"")</f>
        <v/>
      </c>
      <c r="HB52" s="251" t="str">
        <f t="shared" ref="HB52:HB53" si="490">IF(AND(C52=1,B52="Unrestricted",NOT(N52="Common Space")),E52*F52,"")</f>
        <v/>
      </c>
      <c r="HC52" s="251" t="str">
        <f t="shared" ref="HC52:HC53" si="491">IF(AND(C52=2,B52="Unrestricted",NOT(N52="Common Space")),E52*F52,"")</f>
        <v/>
      </c>
      <c r="HD52" s="251" t="str">
        <f t="shared" ref="HD52:HD53" si="492">IF(AND(C52=3,B52="Unrestricted",NOT(N52="Common Space")),E52*F52,"")</f>
        <v/>
      </c>
      <c r="HE52" s="251" t="str">
        <f t="shared" ref="HE52:HE53" si="493">IF(AND(C52=4,B52="Unrestricted",NOT(N52="Common Space")),E52*F52,"")</f>
        <v/>
      </c>
      <c r="HF52" s="251" t="str">
        <f t="shared" ref="HF52:HF53" si="494">IF(AND(C52="Efficiency",NOT(K52=""),NOT($K52=0),NOT(N52="Common Space")),E52*F52,"")</f>
        <v/>
      </c>
      <c r="HG52" s="251" t="str">
        <f t="shared" ref="HG52:HG53" si="495">IF(AND(C52=1,NOT(K52=""),NOT($K52=0),NOT(N52="Common Space")),E52*F52,"")</f>
        <v/>
      </c>
      <c r="HH52" s="251" t="str">
        <f t="shared" ref="HH52:HH53" si="496">IF(AND(C52=2,NOT(K52=""),NOT($K52=0),NOT(N52="Common Space")),E52*F52,"")</f>
        <v/>
      </c>
      <c r="HI52" s="251" t="str">
        <f t="shared" ref="HI52:HI53" si="497">IF(AND(C52=3,NOT(K52=""),NOT($K52=0),NOT(N52="Common Space")),E52*F52,"")</f>
        <v/>
      </c>
      <c r="HJ52" s="251" t="str">
        <f t="shared" ref="HJ52:HJ53" si="498">IF(AND(C52=4,NOT(K52=""),NOT($K52=0),NOT(N52="Common Space")),E52*F52,"")</f>
        <v/>
      </c>
      <c r="HK52" s="251" t="str">
        <f t="shared" ref="HK52:HK53" si="499">IF(AND(C52="Efficiency",N52="Common Space"),E52*F52,"")</f>
        <v/>
      </c>
      <c r="HL52" s="251" t="str">
        <f t="shared" ref="HL52:HL53" si="500">IF(AND(C52=1,N52="Common Space"),E52*F52,"")</f>
        <v/>
      </c>
      <c r="HM52" s="251" t="str">
        <f t="shared" ref="HM52:HM53" si="501">IF(AND(C52=2,N52="Common Space"),E52*F52,"")</f>
        <v/>
      </c>
      <c r="HN52" s="251" t="str">
        <f t="shared" ref="HN52:HN53" si="502">IF(AND(C52=3,N52="Common Space"),E52*F52,"")</f>
        <v/>
      </c>
      <c r="HO52" s="251" t="str">
        <f t="shared" ref="HO52:HO53" si="503">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4">IF(AND(C52="Efficiency",B52="NSP 120% AMI",NOT(N52="Common Space")),E52*F52,"")</f>
        <v/>
      </c>
      <c r="MV52" s="251" t="str">
        <f t="shared" ref="MV52:MV53" si="505">IF(AND(C52=1,B52="NSP 120% AMI",NOT(N52="Common Space")),E52*F52,"")</f>
        <v/>
      </c>
      <c r="MW52" s="251" t="str">
        <f t="shared" ref="MW52:MW53" si="506">IF(AND(C52=2,B52="NSP 120% AMI",NOT(N52="Common Space")),E52*F52,"")</f>
        <v/>
      </c>
      <c r="MX52" s="251" t="str">
        <f t="shared" ref="MX52:MX53" si="507">IF(AND(C52=3,B52="NSP 120% AMI",NOT(N52="Common Space")),E52*F52,"")</f>
        <v/>
      </c>
      <c r="MY52" s="251" t="str">
        <f t="shared" ref="MY52:MY53" si="508">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1194</v>
      </c>
      <c r="OZ52" s="1798">
        <v>52</v>
      </c>
    </row>
    <row r="53" spans="1:416" ht="12" customHeight="1">
      <c r="A53" s="53" t="str">
        <f t="shared" si="441"/>
        <v/>
      </c>
      <c r="B53" s="782"/>
      <c r="C53" s="85"/>
      <c r="D53" s="1187"/>
      <c r="E53" s="86"/>
      <c r="F53" s="86"/>
      <c r="G53" s="86"/>
      <c r="H53" s="86"/>
      <c r="I53" s="86"/>
      <c r="J53" s="765">
        <f>IF(C53="",0,HLOOKUP(C53,'Part IV-Utility Allowances'!$I$11:$M$25,15))</f>
        <v>0</v>
      </c>
      <c r="K53" s="473"/>
      <c r="L53" s="330">
        <f t="shared" si="442"/>
        <v>0</v>
      </c>
      <c r="M53" s="330">
        <f t="shared" si="443"/>
        <v>0</v>
      </c>
      <c r="N53" s="506"/>
      <c r="O53" s="1134"/>
      <c r="P53" s="506"/>
      <c r="Q53" s="87"/>
      <c r="R53" s="540"/>
      <c r="S53" s="541"/>
      <c r="T53" s="3916"/>
      <c r="U53" s="3917"/>
      <c r="V53" s="3917"/>
      <c r="W53" s="3918"/>
      <c r="X53" s="251" t="str">
        <f t="shared" si="444"/>
        <v/>
      </c>
      <c r="Y53" s="251" t="str">
        <f t="shared" si="445"/>
        <v/>
      </c>
      <c r="Z53" s="251" t="str">
        <f t="shared" si="446"/>
        <v/>
      </c>
      <c r="AA53" s="251" t="str">
        <f t="shared" si="447"/>
        <v/>
      </c>
      <c r="AB53" s="251" t="str">
        <f t="shared" si="448"/>
        <v/>
      </c>
      <c r="AC53" s="251" t="str">
        <f t="shared" si="449"/>
        <v/>
      </c>
      <c r="AD53" s="251" t="str">
        <f t="shared" si="450"/>
        <v/>
      </c>
      <c r="AE53" s="251" t="str">
        <f t="shared" si="451"/>
        <v/>
      </c>
      <c r="AF53" s="251" t="str">
        <f t="shared" si="452"/>
        <v/>
      </c>
      <c r="AG53" s="251" t="str">
        <f t="shared" si="453"/>
        <v/>
      </c>
      <c r="AH53" s="251" t="str">
        <f t="shared" si="454"/>
        <v/>
      </c>
      <c r="AI53" s="251" t="str">
        <f t="shared" si="455"/>
        <v/>
      </c>
      <c r="AJ53" s="251" t="str">
        <f t="shared" si="456"/>
        <v/>
      </c>
      <c r="AK53" s="251" t="str">
        <f t="shared" si="457"/>
        <v/>
      </c>
      <c r="AL53" s="251" t="str">
        <f t="shared" si="458"/>
        <v/>
      </c>
      <c r="AM53" s="251" t="str">
        <f t="shared" si="459"/>
        <v/>
      </c>
      <c r="AN53" s="251" t="str">
        <f t="shared" si="460"/>
        <v/>
      </c>
      <c r="AO53" s="251" t="str">
        <f t="shared" si="461"/>
        <v/>
      </c>
      <c r="AP53" s="251" t="str">
        <f t="shared" si="462"/>
        <v/>
      </c>
      <c r="AQ53" s="251" t="str">
        <f t="shared" si="463"/>
        <v/>
      </c>
      <c r="AR53" s="251" t="str">
        <f t="shared" si="464"/>
        <v/>
      </c>
      <c r="AS53" s="251" t="str">
        <f t="shared" si="465"/>
        <v/>
      </c>
      <c r="AT53" s="251" t="str">
        <f t="shared" si="466"/>
        <v/>
      </c>
      <c r="AU53" s="251" t="str">
        <f t="shared" si="467"/>
        <v/>
      </c>
      <c r="AV53" s="251" t="str">
        <f t="shared" si="468"/>
        <v/>
      </c>
      <c r="AW53" s="251" t="str">
        <f t="shared" si="469"/>
        <v/>
      </c>
      <c r="AX53" s="251" t="str">
        <f t="shared" si="470"/>
        <v/>
      </c>
      <c r="AY53" s="251" t="str">
        <f t="shared" si="471"/>
        <v/>
      </c>
      <c r="AZ53" s="251" t="str">
        <f t="shared" si="472"/>
        <v/>
      </c>
      <c r="BA53" s="251" t="str">
        <f t="shared" si="473"/>
        <v/>
      </c>
      <c r="BB53" s="251" t="str">
        <f t="shared" si="474"/>
        <v/>
      </c>
      <c r="BC53" s="251" t="str">
        <f t="shared" si="475"/>
        <v/>
      </c>
      <c r="BD53" s="251" t="str">
        <f t="shared" si="476"/>
        <v/>
      </c>
      <c r="BE53" s="251" t="str">
        <f t="shared" si="477"/>
        <v/>
      </c>
      <c r="BF53" s="251" t="str">
        <f t="shared" si="478"/>
        <v/>
      </c>
      <c r="BG53" s="251" t="str">
        <f t="shared" si="479"/>
        <v/>
      </c>
      <c r="BH53" s="251" t="str">
        <f t="shared" si="480"/>
        <v/>
      </c>
      <c r="BI53" s="251" t="str">
        <f t="shared" si="481"/>
        <v/>
      </c>
      <c r="BJ53" s="251" t="str">
        <f t="shared" si="482"/>
        <v/>
      </c>
      <c r="BK53" s="251" t="str">
        <f t="shared" si="483"/>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4"/>
        <v/>
      </c>
      <c r="FN53" s="251" t="str">
        <f t="shared" si="485"/>
        <v/>
      </c>
      <c r="FO53" s="251" t="str">
        <f t="shared" si="486"/>
        <v/>
      </c>
      <c r="FP53" s="251" t="str">
        <f t="shared" si="487"/>
        <v/>
      </c>
      <c r="FQ53" s="251" t="str">
        <f t="shared" si="488"/>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89"/>
        <v/>
      </c>
      <c r="HB53" s="251" t="str">
        <f t="shared" si="490"/>
        <v/>
      </c>
      <c r="HC53" s="251" t="str">
        <f t="shared" si="491"/>
        <v/>
      </c>
      <c r="HD53" s="251" t="str">
        <f t="shared" si="492"/>
        <v/>
      </c>
      <c r="HE53" s="251" t="str">
        <f t="shared" si="493"/>
        <v/>
      </c>
      <c r="HF53" s="251" t="str">
        <f t="shared" si="494"/>
        <v/>
      </c>
      <c r="HG53" s="251" t="str">
        <f t="shared" si="495"/>
        <v/>
      </c>
      <c r="HH53" s="251" t="str">
        <f t="shared" si="496"/>
        <v/>
      </c>
      <c r="HI53" s="251" t="str">
        <f t="shared" si="497"/>
        <v/>
      </c>
      <c r="HJ53" s="251" t="str">
        <f t="shared" si="498"/>
        <v/>
      </c>
      <c r="HK53" s="251" t="str">
        <f t="shared" si="499"/>
        <v/>
      </c>
      <c r="HL53" s="251" t="str">
        <f t="shared" si="500"/>
        <v/>
      </c>
      <c r="HM53" s="251" t="str">
        <f t="shared" si="501"/>
        <v/>
      </c>
      <c r="HN53" s="251" t="str">
        <f t="shared" si="502"/>
        <v/>
      </c>
      <c r="HO53" s="251" t="str">
        <f t="shared" si="503"/>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4"/>
        <v/>
      </c>
      <c r="MV53" s="251" t="str">
        <f t="shared" si="505"/>
        <v/>
      </c>
      <c r="MW53" s="251" t="str">
        <f t="shared" si="506"/>
        <v/>
      </c>
      <c r="MX53" s="251" t="str">
        <f t="shared" si="507"/>
        <v/>
      </c>
      <c r="MY53" s="251" t="str">
        <f t="shared" si="508"/>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1194</v>
      </c>
      <c r="OZ53" s="1798">
        <v>51</v>
      </c>
    </row>
    <row r="54" spans="1:416" ht="12" customHeight="1">
      <c r="A54" s="53" t="str">
        <f t="shared" ref="A54:A55" si="509">IF(AND(E54&gt;0,OR(B54="",C54="",D54="",F54="",G54="", H54="",I54="",N54="",O54="",P54="",Q54="")),1,"")</f>
        <v/>
      </c>
      <c r="B54" s="782"/>
      <c r="C54" s="85"/>
      <c r="D54" s="1187"/>
      <c r="E54" s="86"/>
      <c r="F54" s="86"/>
      <c r="G54" s="86"/>
      <c r="H54" s="86"/>
      <c r="I54" s="86"/>
      <c r="J54" s="765">
        <f>IF(C54="",0,HLOOKUP(C54,'Part IV-Utility Allowances'!$I$11:$M$25,15))</f>
        <v>0</v>
      </c>
      <c r="K54" s="473"/>
      <c r="L54" s="330">
        <f t="shared" ref="L54:L55" si="510">MAX(0,H54-I54-J54)</f>
        <v>0</v>
      </c>
      <c r="M54" s="330">
        <f t="shared" ref="M54:M55" si="511">MAX(0,E54*L54)</f>
        <v>0</v>
      </c>
      <c r="N54" s="506"/>
      <c r="O54" s="1134"/>
      <c r="P54" s="506"/>
      <c r="Q54" s="87"/>
      <c r="R54" s="540"/>
      <c r="S54" s="541"/>
      <c r="T54" s="3916"/>
      <c r="U54" s="3917"/>
      <c r="V54" s="3917"/>
      <c r="W54" s="3918"/>
      <c r="X54" s="251" t="str">
        <f t="shared" ref="X54:X55" si="512">IF(AND(C54="Efficiency",B54=80,NOT(N54="Common Space")),E54,"")</f>
        <v/>
      </c>
      <c r="Y54" s="251" t="str">
        <f t="shared" ref="Y54:Y55" si="513">IF(AND(C54=1,B54=80,NOT(N54="Common Space")),E54,"")</f>
        <v/>
      </c>
      <c r="Z54" s="251" t="str">
        <f t="shared" ref="Z54:Z55" si="514">IF(AND(C54=2,B54=80,NOT(N54="Common Space")),E54,"")</f>
        <v/>
      </c>
      <c r="AA54" s="251" t="str">
        <f t="shared" ref="AA54:AA55" si="515">IF(AND(C54=3,B54=80,NOT(N54="Common Space")),E54,"")</f>
        <v/>
      </c>
      <c r="AB54" s="251" t="str">
        <f t="shared" ref="AB54:AB55" si="516">IF(AND(C54=4,B54=80,NOT(N54="Common Space")),E54,"")</f>
        <v/>
      </c>
      <c r="AC54" s="251" t="str">
        <f t="shared" ref="AC54:AC55" si="517">IF(AND(C54="Efficiency",B54=70,NOT(N54="Common Space")),E54,"")</f>
        <v/>
      </c>
      <c r="AD54" s="251" t="str">
        <f t="shared" ref="AD54:AD55" si="518">IF(AND(C54=1,B54=70,NOT(N54="Common Space")),E54,"")</f>
        <v/>
      </c>
      <c r="AE54" s="251" t="str">
        <f t="shared" ref="AE54:AE55" si="519">IF(AND(C54=2,B54=70,NOT(N54="Common Space")),E54,"")</f>
        <v/>
      </c>
      <c r="AF54" s="251" t="str">
        <f t="shared" ref="AF54:AF55" si="520">IF(AND(C54=3,B54=70,NOT(N54="Common Space")),E54,"")</f>
        <v/>
      </c>
      <c r="AG54" s="251" t="str">
        <f t="shared" ref="AG54:AG55" si="521">IF(AND(C54=4,B54=70,NOT(N54="Common Space")),E54,"")</f>
        <v/>
      </c>
      <c r="AH54" s="251" t="str">
        <f t="shared" ref="AH54:AH55" si="522">IF(AND(C54="Efficiency",B54=60,NOT(N54="Common Space")),E54,"")</f>
        <v/>
      </c>
      <c r="AI54" s="251" t="str">
        <f t="shared" ref="AI54:AI55" si="523">IF(AND(C54=1,B54=60,NOT(N54="Common Space")),E54,"")</f>
        <v/>
      </c>
      <c r="AJ54" s="251" t="str">
        <f t="shared" ref="AJ54:AJ55" si="524">IF(AND(C54=2,B54=60,NOT(N54="Common Space")),E54,"")</f>
        <v/>
      </c>
      <c r="AK54" s="251" t="str">
        <f t="shared" ref="AK54:AK55" si="525">IF(AND(C54=3,B54=60,NOT(N54="Common Space")),E54,"")</f>
        <v/>
      </c>
      <c r="AL54" s="251" t="str">
        <f t="shared" ref="AL54:AL55" si="526">IF(AND(C54=4,B54=60,NOT(N54="Common Space")),E54,"")</f>
        <v/>
      </c>
      <c r="AM54" s="251" t="str">
        <f t="shared" ref="AM54:AM55" si="527">IF(AND(C54="Efficiency",B54=50,NOT(N54="Common Space")),E54,"")</f>
        <v/>
      </c>
      <c r="AN54" s="251" t="str">
        <f t="shared" ref="AN54:AN55" si="528">IF(AND(C54=1,B54=50,NOT(N54="Common Space")),E54,"")</f>
        <v/>
      </c>
      <c r="AO54" s="251" t="str">
        <f t="shared" ref="AO54:AO55" si="529">IF(AND(C54=2,B54=50,NOT(N54="Common Space")),E54,"")</f>
        <v/>
      </c>
      <c r="AP54" s="251" t="str">
        <f t="shared" ref="AP54:AP55" si="530">IF(AND(C54=3,B54=50,NOT(N54="Common Space")),E54,"")</f>
        <v/>
      </c>
      <c r="AQ54" s="251" t="str">
        <f t="shared" ref="AQ54:AQ55" si="531">IF(AND(C54=4,B54=50,NOT(N54="Common Space")),E54,"")</f>
        <v/>
      </c>
      <c r="AR54" s="251" t="str">
        <f t="shared" ref="AR54:AR55" si="532">IF(AND(C54="Efficiency",B54=40,NOT(N54="Common Space")),E54,"")</f>
        <v/>
      </c>
      <c r="AS54" s="251" t="str">
        <f t="shared" ref="AS54:AS55" si="533">IF(AND(C54=1,B54=40,NOT(N54="Common Space")),E54,"")</f>
        <v/>
      </c>
      <c r="AT54" s="251" t="str">
        <f t="shared" ref="AT54:AT55" si="534">IF(AND(C54=2,B54=40,NOT(N54="Common Space")),E54,"")</f>
        <v/>
      </c>
      <c r="AU54" s="251" t="str">
        <f t="shared" ref="AU54:AU55" si="535">IF(AND(C54=3,B54=40,NOT(N54="Common Space")),E54,"")</f>
        <v/>
      </c>
      <c r="AV54" s="251" t="str">
        <f t="shared" ref="AV54:AV55" si="536">IF(AND(C54=4,B54=40,NOT(N54="Common Space")),E54,"")</f>
        <v/>
      </c>
      <c r="AW54" s="251" t="str">
        <f t="shared" ref="AW54:AW55" si="537">IF(AND(C54="Efficiency",B54=30,NOT(N54="Common Space")),E54,"")</f>
        <v/>
      </c>
      <c r="AX54" s="251" t="str">
        <f t="shared" ref="AX54:AX55" si="538">IF(AND(C54=1,B54=30,NOT(N54="Common Space")),E54,"")</f>
        <v/>
      </c>
      <c r="AY54" s="251" t="str">
        <f t="shared" ref="AY54:AY55" si="539">IF(AND(C54=2,B54=30,NOT(N54="Common Space")),E54,"")</f>
        <v/>
      </c>
      <c r="AZ54" s="251" t="str">
        <f t="shared" ref="AZ54:AZ55" si="540">IF(AND(C54=3,B54=30,NOT(N54="Common Space")),E54,"")</f>
        <v/>
      </c>
      <c r="BA54" s="251" t="str">
        <f t="shared" ref="BA54:BA55" si="541">IF(AND(C54=4,B54=30,NOT(N54="Common Space")),E54,"")</f>
        <v/>
      </c>
      <c r="BB54" s="251" t="str">
        <f t="shared" ref="BB54:BB55" si="542">IF(AND(C54="Efficiency",B54=20,NOT(N54="Common Space")),E54,"")</f>
        <v/>
      </c>
      <c r="BC54" s="251" t="str">
        <f t="shared" ref="BC54:BC55" si="543">IF(AND(C54=1,B54=20,NOT(N54="Common Space")),E54,"")</f>
        <v/>
      </c>
      <c r="BD54" s="251" t="str">
        <f t="shared" ref="BD54:BD55" si="544">IF(AND(C54=2,B54=20,NOT(N54="Common Space")),E54,"")</f>
        <v/>
      </c>
      <c r="BE54" s="251" t="str">
        <f t="shared" ref="BE54:BE55" si="545">IF(AND(C54=3,B54=20,NOT(N54="Common Space")),E54,"")</f>
        <v/>
      </c>
      <c r="BF54" s="251" t="str">
        <f t="shared" ref="BF54:BF55" si="546">IF(AND(C54=4,B54=20,NOT(N54="Common Space")),E54,"")</f>
        <v/>
      </c>
      <c r="BG54" s="251" t="str">
        <f t="shared" ref="BG54:BG55" si="547">IF(AND(C54="Efficiency",B54="Unrestricted",NOT(N54="Common Space")),E54,"")</f>
        <v/>
      </c>
      <c r="BH54" s="251" t="str">
        <f t="shared" ref="BH54:BH55" si="548">IF(AND(C54=1,B54="Unrestricted",NOT(N54="Common Space")),E54,"")</f>
        <v/>
      </c>
      <c r="BI54" s="251" t="str">
        <f t="shared" ref="BI54:BI55" si="549">IF(AND(C54=2,B54="Unrestricted",NOT(N54="Common Space")),E54,"")</f>
        <v/>
      </c>
      <c r="BJ54" s="251" t="str">
        <f t="shared" ref="BJ54:BJ55" si="550">IF(AND(C54=3,B54="Unrestricted",NOT(N54="Common Space")),E54,"")</f>
        <v/>
      </c>
      <c r="BK54" s="251" t="str">
        <f t="shared" ref="BK54:BK55" si="551">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2">IF(AND(C54="Efficiency",N54="Common Space"),E54,"")</f>
        <v/>
      </c>
      <c r="FN54" s="251" t="str">
        <f t="shared" ref="FN54:FN55" si="553">IF(AND(C54=1,N54="Common Space"),E54,"")</f>
        <v/>
      </c>
      <c r="FO54" s="251" t="str">
        <f t="shared" ref="FO54:FO55" si="554">IF(AND(C54=2,N54="Common Space"),E54,"")</f>
        <v/>
      </c>
      <c r="FP54" s="251" t="str">
        <f t="shared" ref="FP54:FP55" si="555">IF(AND(C54=3,N54="Common Space"),E54,"")</f>
        <v/>
      </c>
      <c r="FQ54" s="251" t="str">
        <f t="shared" ref="FQ54:FQ55" si="556">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7">IF(AND(C54="Efficiency",B54="Unrestricted",NOT(N54="Common Space")),E54*F54,"")</f>
        <v/>
      </c>
      <c r="HB54" s="251" t="str">
        <f t="shared" ref="HB54:HB55" si="558">IF(AND(C54=1,B54="Unrestricted",NOT(N54="Common Space")),E54*F54,"")</f>
        <v/>
      </c>
      <c r="HC54" s="251" t="str">
        <f t="shared" ref="HC54:HC55" si="559">IF(AND(C54=2,B54="Unrestricted",NOT(N54="Common Space")),E54*F54,"")</f>
        <v/>
      </c>
      <c r="HD54" s="251" t="str">
        <f t="shared" ref="HD54:HD55" si="560">IF(AND(C54=3,B54="Unrestricted",NOT(N54="Common Space")),E54*F54,"")</f>
        <v/>
      </c>
      <c r="HE54" s="251" t="str">
        <f t="shared" ref="HE54:HE55" si="561">IF(AND(C54=4,B54="Unrestricted",NOT(N54="Common Space")),E54*F54,"")</f>
        <v/>
      </c>
      <c r="HF54" s="251" t="str">
        <f t="shared" ref="HF54:HF55" si="562">IF(AND(C54="Efficiency",NOT(K54=""),NOT($K54=0),NOT(N54="Common Space")),E54*F54,"")</f>
        <v/>
      </c>
      <c r="HG54" s="251" t="str">
        <f t="shared" ref="HG54:HG55" si="563">IF(AND(C54=1,NOT(K54=""),NOT($K54=0),NOT(N54="Common Space")),E54*F54,"")</f>
        <v/>
      </c>
      <c r="HH54" s="251" t="str">
        <f t="shared" ref="HH54:HH55" si="564">IF(AND(C54=2,NOT(K54=""),NOT($K54=0),NOT(N54="Common Space")),E54*F54,"")</f>
        <v/>
      </c>
      <c r="HI54" s="251" t="str">
        <f t="shared" ref="HI54:HI55" si="565">IF(AND(C54=3,NOT(K54=""),NOT($K54=0),NOT(N54="Common Space")),E54*F54,"")</f>
        <v/>
      </c>
      <c r="HJ54" s="251" t="str">
        <f t="shared" ref="HJ54:HJ55" si="566">IF(AND(C54=4,NOT(K54=""),NOT($K54=0),NOT(N54="Common Space")),E54*F54,"")</f>
        <v/>
      </c>
      <c r="HK54" s="251" t="str">
        <f t="shared" ref="HK54:HK55" si="567">IF(AND(C54="Efficiency",N54="Common Space"),E54*F54,"")</f>
        <v/>
      </c>
      <c r="HL54" s="251" t="str">
        <f t="shared" ref="HL54:HL55" si="568">IF(AND(C54=1,N54="Common Space"),E54*F54,"")</f>
        <v/>
      </c>
      <c r="HM54" s="251" t="str">
        <f t="shared" ref="HM54:HM55" si="569">IF(AND(C54=2,N54="Common Space"),E54*F54,"")</f>
        <v/>
      </c>
      <c r="HN54" s="251" t="str">
        <f t="shared" ref="HN54:HN55" si="570">IF(AND(C54=3,N54="Common Space"),E54*F54,"")</f>
        <v/>
      </c>
      <c r="HO54" s="251" t="str">
        <f t="shared" ref="HO54:HO55" si="571">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2">IF(AND(C54="Efficiency",B54="NSP 120% AMI",NOT(N54="Common Space")),E54*F54,"")</f>
        <v/>
      </c>
      <c r="MV54" s="251" t="str">
        <f t="shared" ref="MV54:MV55" si="573">IF(AND(C54=1,B54="NSP 120% AMI",NOT(N54="Common Space")),E54*F54,"")</f>
        <v/>
      </c>
      <c r="MW54" s="251" t="str">
        <f t="shared" ref="MW54:MW55" si="574">IF(AND(C54=2,B54="NSP 120% AMI",NOT(N54="Common Space")),E54*F54,"")</f>
        <v/>
      </c>
      <c r="MX54" s="251" t="str">
        <f t="shared" ref="MX54:MX55" si="575">IF(AND(C54=3,B54="NSP 120% AMI",NOT(N54="Common Space")),E54*F54,"")</f>
        <v/>
      </c>
      <c r="MY54" s="251" t="str">
        <f t="shared" ref="MY54:MY55" si="576">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1194</v>
      </c>
      <c r="OZ54" s="1798">
        <v>52</v>
      </c>
    </row>
    <row r="55" spans="1:416" ht="12" customHeight="1">
      <c r="A55" s="53" t="str">
        <f t="shared" si="509"/>
        <v/>
      </c>
      <c r="B55" s="782"/>
      <c r="C55" s="85"/>
      <c r="D55" s="1187"/>
      <c r="E55" s="86"/>
      <c r="F55" s="86"/>
      <c r="G55" s="86"/>
      <c r="H55" s="86"/>
      <c r="I55" s="86"/>
      <c r="J55" s="765">
        <f>IF(C55="",0,HLOOKUP(C55,'Part IV-Utility Allowances'!$I$11:$M$25,15))</f>
        <v>0</v>
      </c>
      <c r="K55" s="473"/>
      <c r="L55" s="330">
        <f t="shared" si="510"/>
        <v>0</v>
      </c>
      <c r="M55" s="330">
        <f t="shared" si="511"/>
        <v>0</v>
      </c>
      <c r="N55" s="506"/>
      <c r="O55" s="1134"/>
      <c r="P55" s="506"/>
      <c r="Q55" s="87"/>
      <c r="R55" s="540"/>
      <c r="S55" s="541"/>
      <c r="T55" s="3916"/>
      <c r="U55" s="3917"/>
      <c r="V55" s="3917"/>
      <c r="W55" s="3918"/>
      <c r="X55" s="251" t="str">
        <f t="shared" si="512"/>
        <v/>
      </c>
      <c r="Y55" s="251" t="str">
        <f t="shared" si="513"/>
        <v/>
      </c>
      <c r="Z55" s="251" t="str">
        <f t="shared" si="514"/>
        <v/>
      </c>
      <c r="AA55" s="251" t="str">
        <f t="shared" si="515"/>
        <v/>
      </c>
      <c r="AB55" s="251" t="str">
        <f t="shared" si="516"/>
        <v/>
      </c>
      <c r="AC55" s="251" t="str">
        <f t="shared" si="517"/>
        <v/>
      </c>
      <c r="AD55" s="251" t="str">
        <f t="shared" si="518"/>
        <v/>
      </c>
      <c r="AE55" s="251" t="str">
        <f t="shared" si="519"/>
        <v/>
      </c>
      <c r="AF55" s="251" t="str">
        <f t="shared" si="520"/>
        <v/>
      </c>
      <c r="AG55" s="251" t="str">
        <f t="shared" si="521"/>
        <v/>
      </c>
      <c r="AH55" s="251" t="str">
        <f t="shared" si="522"/>
        <v/>
      </c>
      <c r="AI55" s="251" t="str">
        <f t="shared" si="523"/>
        <v/>
      </c>
      <c r="AJ55" s="251" t="str">
        <f t="shared" si="524"/>
        <v/>
      </c>
      <c r="AK55" s="251" t="str">
        <f t="shared" si="525"/>
        <v/>
      </c>
      <c r="AL55" s="251" t="str">
        <f t="shared" si="526"/>
        <v/>
      </c>
      <c r="AM55" s="251" t="str">
        <f t="shared" si="527"/>
        <v/>
      </c>
      <c r="AN55" s="251" t="str">
        <f t="shared" si="528"/>
        <v/>
      </c>
      <c r="AO55" s="251" t="str">
        <f t="shared" si="529"/>
        <v/>
      </c>
      <c r="AP55" s="251" t="str">
        <f t="shared" si="530"/>
        <v/>
      </c>
      <c r="AQ55" s="251" t="str">
        <f t="shared" si="531"/>
        <v/>
      </c>
      <c r="AR55" s="251" t="str">
        <f t="shared" si="532"/>
        <v/>
      </c>
      <c r="AS55" s="251" t="str">
        <f t="shared" si="533"/>
        <v/>
      </c>
      <c r="AT55" s="251" t="str">
        <f t="shared" si="534"/>
        <v/>
      </c>
      <c r="AU55" s="251" t="str">
        <f t="shared" si="535"/>
        <v/>
      </c>
      <c r="AV55" s="251" t="str">
        <f t="shared" si="536"/>
        <v/>
      </c>
      <c r="AW55" s="251" t="str">
        <f t="shared" si="537"/>
        <v/>
      </c>
      <c r="AX55" s="251" t="str">
        <f t="shared" si="538"/>
        <v/>
      </c>
      <c r="AY55" s="251" t="str">
        <f t="shared" si="539"/>
        <v/>
      </c>
      <c r="AZ55" s="251" t="str">
        <f t="shared" si="540"/>
        <v/>
      </c>
      <c r="BA55" s="251" t="str">
        <f t="shared" si="541"/>
        <v/>
      </c>
      <c r="BB55" s="251" t="str">
        <f t="shared" si="542"/>
        <v/>
      </c>
      <c r="BC55" s="251" t="str">
        <f t="shared" si="543"/>
        <v/>
      </c>
      <c r="BD55" s="251" t="str">
        <f t="shared" si="544"/>
        <v/>
      </c>
      <c r="BE55" s="251" t="str">
        <f t="shared" si="545"/>
        <v/>
      </c>
      <c r="BF55" s="251" t="str">
        <f t="shared" si="546"/>
        <v/>
      </c>
      <c r="BG55" s="251" t="str">
        <f t="shared" si="547"/>
        <v/>
      </c>
      <c r="BH55" s="251" t="str">
        <f t="shared" si="548"/>
        <v/>
      </c>
      <c r="BI55" s="251" t="str">
        <f t="shared" si="549"/>
        <v/>
      </c>
      <c r="BJ55" s="251" t="str">
        <f t="shared" si="550"/>
        <v/>
      </c>
      <c r="BK55" s="251" t="str">
        <f t="shared" si="551"/>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2"/>
        <v/>
      </c>
      <c r="FN55" s="251" t="str">
        <f t="shared" si="553"/>
        <v/>
      </c>
      <c r="FO55" s="251" t="str">
        <f t="shared" si="554"/>
        <v/>
      </c>
      <c r="FP55" s="251" t="str">
        <f t="shared" si="555"/>
        <v/>
      </c>
      <c r="FQ55" s="251" t="str">
        <f t="shared" si="556"/>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7"/>
        <v/>
      </c>
      <c r="HB55" s="251" t="str">
        <f t="shared" si="558"/>
        <v/>
      </c>
      <c r="HC55" s="251" t="str">
        <f t="shared" si="559"/>
        <v/>
      </c>
      <c r="HD55" s="251" t="str">
        <f t="shared" si="560"/>
        <v/>
      </c>
      <c r="HE55" s="251" t="str">
        <f t="shared" si="561"/>
        <v/>
      </c>
      <c r="HF55" s="251" t="str">
        <f t="shared" si="562"/>
        <v/>
      </c>
      <c r="HG55" s="251" t="str">
        <f t="shared" si="563"/>
        <v/>
      </c>
      <c r="HH55" s="251" t="str">
        <f t="shared" si="564"/>
        <v/>
      </c>
      <c r="HI55" s="251" t="str">
        <f t="shared" si="565"/>
        <v/>
      </c>
      <c r="HJ55" s="251" t="str">
        <f t="shared" si="566"/>
        <v/>
      </c>
      <c r="HK55" s="251" t="str">
        <f t="shared" si="567"/>
        <v/>
      </c>
      <c r="HL55" s="251" t="str">
        <f t="shared" si="568"/>
        <v/>
      </c>
      <c r="HM55" s="251" t="str">
        <f t="shared" si="569"/>
        <v/>
      </c>
      <c r="HN55" s="251" t="str">
        <f t="shared" si="570"/>
        <v/>
      </c>
      <c r="HO55" s="251" t="str">
        <f t="shared" si="571"/>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2"/>
        <v/>
      </c>
      <c r="MV55" s="251" t="str">
        <f t="shared" si="573"/>
        <v/>
      </c>
      <c r="MW55" s="251" t="str">
        <f t="shared" si="574"/>
        <v/>
      </c>
      <c r="MX55" s="251" t="str">
        <f t="shared" si="575"/>
        <v/>
      </c>
      <c r="MY55" s="251" t="str">
        <f t="shared" si="576"/>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1194</v>
      </c>
      <c r="OZ55" s="1798">
        <v>51</v>
      </c>
    </row>
    <row r="56" spans="1:416" ht="12" customHeight="1">
      <c r="A56" s="53" t="str">
        <f t="shared" ref="A56" si="577">IF(AND(E56&gt;0,OR(B56="",C56="",D56="",F56="",G56="", H56="",I56="",N56="",O56="",P56="",Q56="")),1,"")</f>
        <v/>
      </c>
      <c r="B56" s="782"/>
      <c r="C56" s="85"/>
      <c r="D56" s="1187"/>
      <c r="E56" s="86"/>
      <c r="F56" s="86"/>
      <c r="G56" s="86"/>
      <c r="H56" s="86"/>
      <c r="I56" s="86"/>
      <c r="J56" s="765">
        <f>IF(C56="",0,HLOOKUP(C56,'Part IV-Utility Allowances'!$I$11:$M$25,15))</f>
        <v>0</v>
      </c>
      <c r="K56" s="473"/>
      <c r="L56" s="330">
        <f t="shared" ref="L56" si="578">MAX(0,H56-I56-J56)</f>
        <v>0</v>
      </c>
      <c r="M56" s="330">
        <f t="shared" ref="M56" si="579">MAX(0,E56*L56)</f>
        <v>0</v>
      </c>
      <c r="N56" s="506"/>
      <c r="O56" s="1134"/>
      <c r="P56" s="506"/>
      <c r="Q56" s="87"/>
      <c r="R56" s="540"/>
      <c r="S56" s="541"/>
      <c r="T56" s="3916"/>
      <c r="U56" s="3917"/>
      <c r="V56" s="3917"/>
      <c r="W56" s="3918"/>
      <c r="X56" s="251" t="str">
        <f t="shared" ref="X56" si="580">IF(AND(C56="Efficiency",B56=80,NOT(N56="Common Space")),E56,"")</f>
        <v/>
      </c>
      <c r="Y56" s="251" t="str">
        <f t="shared" ref="Y56" si="581">IF(AND(C56=1,B56=80,NOT(N56="Common Space")),E56,"")</f>
        <v/>
      </c>
      <c r="Z56" s="251" t="str">
        <f t="shared" ref="Z56" si="582">IF(AND(C56=2,B56=80,NOT(N56="Common Space")),E56,"")</f>
        <v/>
      </c>
      <c r="AA56" s="251" t="str">
        <f t="shared" ref="AA56" si="583">IF(AND(C56=3,B56=80,NOT(N56="Common Space")),E56,"")</f>
        <v/>
      </c>
      <c r="AB56" s="251" t="str">
        <f t="shared" ref="AB56" si="584">IF(AND(C56=4,B56=80,NOT(N56="Common Space")),E56,"")</f>
        <v/>
      </c>
      <c r="AC56" s="251" t="str">
        <f t="shared" ref="AC56" si="585">IF(AND(C56="Efficiency",B56=70,NOT(N56="Common Space")),E56,"")</f>
        <v/>
      </c>
      <c r="AD56" s="251" t="str">
        <f t="shared" ref="AD56" si="586">IF(AND(C56=1,B56=70,NOT(N56="Common Space")),E56,"")</f>
        <v/>
      </c>
      <c r="AE56" s="251" t="str">
        <f t="shared" ref="AE56" si="587">IF(AND(C56=2,B56=70,NOT(N56="Common Space")),E56,"")</f>
        <v/>
      </c>
      <c r="AF56" s="251" t="str">
        <f t="shared" ref="AF56" si="588">IF(AND(C56=3,B56=70,NOT(N56="Common Space")),E56,"")</f>
        <v/>
      </c>
      <c r="AG56" s="251" t="str">
        <f t="shared" ref="AG56" si="589">IF(AND(C56=4,B56=70,NOT(N56="Common Space")),E56,"")</f>
        <v/>
      </c>
      <c r="AH56" s="251" t="str">
        <f t="shared" ref="AH56" si="590">IF(AND(C56="Efficiency",B56=60,NOT(N56="Common Space")),E56,"")</f>
        <v/>
      </c>
      <c r="AI56" s="251" t="str">
        <f t="shared" ref="AI56" si="591">IF(AND(C56=1,B56=60,NOT(N56="Common Space")),E56,"")</f>
        <v/>
      </c>
      <c r="AJ56" s="251" t="str">
        <f t="shared" ref="AJ56" si="592">IF(AND(C56=2,B56=60,NOT(N56="Common Space")),E56,"")</f>
        <v/>
      </c>
      <c r="AK56" s="251" t="str">
        <f t="shared" ref="AK56" si="593">IF(AND(C56=3,B56=60,NOT(N56="Common Space")),E56,"")</f>
        <v/>
      </c>
      <c r="AL56" s="251" t="str">
        <f t="shared" ref="AL56" si="594">IF(AND(C56=4,B56=60,NOT(N56="Common Space")),E56,"")</f>
        <v/>
      </c>
      <c r="AM56" s="251" t="str">
        <f t="shared" ref="AM56" si="595">IF(AND(C56="Efficiency",B56=50,NOT(N56="Common Space")),E56,"")</f>
        <v/>
      </c>
      <c r="AN56" s="251" t="str">
        <f t="shared" ref="AN56" si="596">IF(AND(C56=1,B56=50,NOT(N56="Common Space")),E56,"")</f>
        <v/>
      </c>
      <c r="AO56" s="251" t="str">
        <f t="shared" ref="AO56" si="597">IF(AND(C56=2,B56=50,NOT(N56="Common Space")),E56,"")</f>
        <v/>
      </c>
      <c r="AP56" s="251" t="str">
        <f t="shared" ref="AP56" si="598">IF(AND(C56=3,B56=50,NOT(N56="Common Space")),E56,"")</f>
        <v/>
      </c>
      <c r="AQ56" s="251" t="str">
        <f t="shared" ref="AQ56" si="599">IF(AND(C56=4,B56=50,NOT(N56="Common Space")),E56,"")</f>
        <v/>
      </c>
      <c r="AR56" s="251" t="str">
        <f t="shared" ref="AR56" si="600">IF(AND(C56="Efficiency",B56=40,NOT(N56="Common Space")),E56,"")</f>
        <v/>
      </c>
      <c r="AS56" s="251" t="str">
        <f t="shared" ref="AS56" si="601">IF(AND(C56=1,B56=40,NOT(N56="Common Space")),E56,"")</f>
        <v/>
      </c>
      <c r="AT56" s="251" t="str">
        <f t="shared" ref="AT56" si="602">IF(AND(C56=2,B56=40,NOT(N56="Common Space")),E56,"")</f>
        <v/>
      </c>
      <c r="AU56" s="251" t="str">
        <f t="shared" ref="AU56" si="603">IF(AND(C56=3,B56=40,NOT(N56="Common Space")),E56,"")</f>
        <v/>
      </c>
      <c r="AV56" s="251" t="str">
        <f t="shared" ref="AV56" si="604">IF(AND(C56=4,B56=40,NOT(N56="Common Space")),E56,"")</f>
        <v/>
      </c>
      <c r="AW56" s="251" t="str">
        <f t="shared" ref="AW56" si="605">IF(AND(C56="Efficiency",B56=30,NOT(N56="Common Space")),E56,"")</f>
        <v/>
      </c>
      <c r="AX56" s="251" t="str">
        <f t="shared" ref="AX56" si="606">IF(AND(C56=1,B56=30,NOT(N56="Common Space")),E56,"")</f>
        <v/>
      </c>
      <c r="AY56" s="251" t="str">
        <f t="shared" ref="AY56" si="607">IF(AND(C56=2,B56=30,NOT(N56="Common Space")),E56,"")</f>
        <v/>
      </c>
      <c r="AZ56" s="251" t="str">
        <f t="shared" ref="AZ56" si="608">IF(AND(C56=3,B56=30,NOT(N56="Common Space")),E56,"")</f>
        <v/>
      </c>
      <c r="BA56" s="251" t="str">
        <f t="shared" ref="BA56" si="609">IF(AND(C56=4,B56=30,NOT(N56="Common Space")),E56,"")</f>
        <v/>
      </c>
      <c r="BB56" s="251" t="str">
        <f t="shared" ref="BB56" si="610">IF(AND(C56="Efficiency",B56=20,NOT(N56="Common Space")),E56,"")</f>
        <v/>
      </c>
      <c r="BC56" s="251" t="str">
        <f t="shared" ref="BC56" si="611">IF(AND(C56=1,B56=20,NOT(N56="Common Space")),E56,"")</f>
        <v/>
      </c>
      <c r="BD56" s="251" t="str">
        <f t="shared" ref="BD56" si="612">IF(AND(C56=2,B56=20,NOT(N56="Common Space")),E56,"")</f>
        <v/>
      </c>
      <c r="BE56" s="251" t="str">
        <f t="shared" ref="BE56" si="613">IF(AND(C56=3,B56=20,NOT(N56="Common Space")),E56,"")</f>
        <v/>
      </c>
      <c r="BF56" s="251" t="str">
        <f t="shared" ref="BF56" si="614">IF(AND(C56=4,B56=20,NOT(N56="Common Space")),E56,"")</f>
        <v/>
      </c>
      <c r="BG56" s="251" t="str">
        <f t="shared" ref="BG56" si="615">IF(AND(C56="Efficiency",B56="Unrestricted",NOT(N56="Common Space")),E56,"")</f>
        <v/>
      </c>
      <c r="BH56" s="251" t="str">
        <f t="shared" ref="BH56" si="616">IF(AND(C56=1,B56="Unrestricted",NOT(N56="Common Space")),E56,"")</f>
        <v/>
      </c>
      <c r="BI56" s="251" t="str">
        <f t="shared" ref="BI56" si="617">IF(AND(C56=2,B56="Unrestricted",NOT(N56="Common Space")),E56,"")</f>
        <v/>
      </c>
      <c r="BJ56" s="251" t="str">
        <f t="shared" ref="BJ56" si="618">IF(AND(C56=3,B56="Unrestricted",NOT(N56="Common Space")),E56,"")</f>
        <v/>
      </c>
      <c r="BK56" s="251" t="str">
        <f t="shared" ref="BK56" si="619">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0">IF(AND(C56="Efficiency",N56="Common Space"),E56,"")</f>
        <v/>
      </c>
      <c r="FN56" s="251" t="str">
        <f t="shared" ref="FN56" si="621">IF(AND(C56=1,N56="Common Space"),E56,"")</f>
        <v/>
      </c>
      <c r="FO56" s="251" t="str">
        <f t="shared" ref="FO56" si="622">IF(AND(C56=2,N56="Common Space"),E56,"")</f>
        <v/>
      </c>
      <c r="FP56" s="251" t="str">
        <f t="shared" ref="FP56" si="623">IF(AND(C56=3,N56="Common Space"),E56,"")</f>
        <v/>
      </c>
      <c r="FQ56" s="251" t="str">
        <f t="shared" ref="FQ56" si="624">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5">IF(AND(C56="Efficiency",B56="Unrestricted",NOT(N56="Common Space")),E56*F56,"")</f>
        <v/>
      </c>
      <c r="HB56" s="251" t="str">
        <f t="shared" ref="HB56" si="626">IF(AND(C56=1,B56="Unrestricted",NOT(N56="Common Space")),E56*F56,"")</f>
        <v/>
      </c>
      <c r="HC56" s="251" t="str">
        <f t="shared" ref="HC56" si="627">IF(AND(C56=2,B56="Unrestricted",NOT(N56="Common Space")),E56*F56,"")</f>
        <v/>
      </c>
      <c r="HD56" s="251" t="str">
        <f t="shared" ref="HD56" si="628">IF(AND(C56=3,B56="Unrestricted",NOT(N56="Common Space")),E56*F56,"")</f>
        <v/>
      </c>
      <c r="HE56" s="251" t="str">
        <f t="shared" ref="HE56" si="629">IF(AND(C56=4,B56="Unrestricted",NOT(N56="Common Space")),E56*F56,"")</f>
        <v/>
      </c>
      <c r="HF56" s="251" t="str">
        <f t="shared" ref="HF56" si="630">IF(AND(C56="Efficiency",NOT(K56=""),NOT($K56=0),NOT(N56="Common Space")),E56*F56,"")</f>
        <v/>
      </c>
      <c r="HG56" s="251" t="str">
        <f t="shared" ref="HG56" si="631">IF(AND(C56=1,NOT(K56=""),NOT($K56=0),NOT(N56="Common Space")),E56*F56,"")</f>
        <v/>
      </c>
      <c r="HH56" s="251" t="str">
        <f t="shared" ref="HH56" si="632">IF(AND(C56=2,NOT(K56=""),NOT($K56=0),NOT(N56="Common Space")),E56*F56,"")</f>
        <v/>
      </c>
      <c r="HI56" s="251" t="str">
        <f t="shared" ref="HI56" si="633">IF(AND(C56=3,NOT(K56=""),NOT($K56=0),NOT(N56="Common Space")),E56*F56,"")</f>
        <v/>
      </c>
      <c r="HJ56" s="251" t="str">
        <f t="shared" ref="HJ56" si="634">IF(AND(C56=4,NOT(K56=""),NOT($K56=0),NOT(N56="Common Space")),E56*F56,"")</f>
        <v/>
      </c>
      <c r="HK56" s="251" t="str">
        <f t="shared" ref="HK56" si="635">IF(AND(C56="Efficiency",N56="Common Space"),E56*F56,"")</f>
        <v/>
      </c>
      <c r="HL56" s="251" t="str">
        <f t="shared" ref="HL56" si="636">IF(AND(C56=1,N56="Common Space"),E56*F56,"")</f>
        <v/>
      </c>
      <c r="HM56" s="251" t="str">
        <f t="shared" ref="HM56" si="637">IF(AND(C56=2,N56="Common Space"),E56*F56,"")</f>
        <v/>
      </c>
      <c r="HN56" s="251" t="str">
        <f t="shared" ref="HN56" si="638">IF(AND(C56=3,N56="Common Space"),E56*F56,"")</f>
        <v/>
      </c>
      <c r="HO56" s="251" t="str">
        <f t="shared" ref="HO56" si="639">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0">IF(AND(C56="Efficiency",B56="NSP 120% AMI",NOT(N56="Common Space")),E56*F56,"")</f>
        <v/>
      </c>
      <c r="MV56" s="251" t="str">
        <f t="shared" ref="MV56" si="641">IF(AND(C56=1,B56="NSP 120% AMI",NOT(N56="Common Space")),E56*F56,"")</f>
        <v/>
      </c>
      <c r="MW56" s="251" t="str">
        <f t="shared" ref="MW56" si="642">IF(AND(C56=2,B56="NSP 120% AMI",NOT(N56="Common Space")),E56*F56,"")</f>
        <v/>
      </c>
      <c r="MX56" s="251" t="str">
        <f t="shared" ref="MX56" si="643">IF(AND(C56=3,B56="NSP 120% AMI",NOT(N56="Common Space")),E56*F56,"")</f>
        <v/>
      </c>
      <c r="MY56" s="251" t="str">
        <f t="shared" ref="MY56" si="644">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1194</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913"/>
      <c r="U57" s="3914"/>
      <c r="V57" s="3914"/>
      <c r="W57" s="3915"/>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1195</v>
      </c>
      <c r="OZ57" s="1799">
        <v>53</v>
      </c>
    </row>
    <row r="58" spans="1:416" s="77" customFormat="1" ht="12.75" customHeight="1">
      <c r="A58" s="2614">
        <f>COUNT(A11,A12,A13,A14,A15,A16,A17,A18,A19,A20,A21,A22,A23,A24,A25,A26,A27,A28,A29,A30,A31,A32,A33,A34,A35,A36,A37,A38,A39,A40,A41,A42,A43,A44,A45,A46,A47,A48,A49,A50,A51,A52,A53,A54,A55,A56,A57)</f>
        <v>0</v>
      </c>
      <c r="B58" s="3926" t="s">
        <v>1196</v>
      </c>
      <c r="C58" s="3927"/>
      <c r="D58" s="72" t="s">
        <v>1197</v>
      </c>
      <c r="E58" s="778">
        <f>SUM(E11:E57)</f>
        <v>60</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51216</v>
      </c>
      <c r="H58" s="3928" t="s">
        <v>1198</v>
      </c>
      <c r="I58" s="2715" t="s">
        <v>1199</v>
      </c>
      <c r="J58" s="2716" t="str">
        <f>IF(P76=0,"",IF(SUM(P67:P71)/P76&gt;=0.4,"Pass","Fail"))</f>
        <v>Pass</v>
      </c>
      <c r="K58" s="320"/>
      <c r="L58" s="510" t="s">
        <v>1200</v>
      </c>
      <c r="M58" s="2717">
        <f>SUM(M11:M57)</f>
        <v>67222</v>
      </c>
      <c r="N58" s="43"/>
      <c r="O58" s="43"/>
      <c r="P58" s="43"/>
      <c r="Q58" s="43"/>
      <c r="R58" s="43"/>
      <c r="S58" s="43"/>
      <c r="T58" s="43"/>
      <c r="U58" s="43"/>
      <c r="V58" s="501"/>
      <c r="W58" s="321"/>
      <c r="X58" s="1186">
        <f t="shared" ref="X58:GJ58" si="645">SUM(X11:X57)</f>
        <v>0</v>
      </c>
      <c r="Y58" s="1186">
        <f t="shared" si="645"/>
        <v>0</v>
      </c>
      <c r="Z58" s="1186">
        <f t="shared" si="645"/>
        <v>0</v>
      </c>
      <c r="AA58" s="1186">
        <f t="shared" si="645"/>
        <v>0</v>
      </c>
      <c r="AB58" s="1186">
        <f t="shared" si="645"/>
        <v>0</v>
      </c>
      <c r="AC58" s="1186">
        <f t="shared" si="645"/>
        <v>0</v>
      </c>
      <c r="AD58" s="1186">
        <f t="shared" si="645"/>
        <v>2</v>
      </c>
      <c r="AE58" s="1186">
        <f t="shared" si="645"/>
        <v>4</v>
      </c>
      <c r="AF58" s="1186">
        <f t="shared" si="645"/>
        <v>0</v>
      </c>
      <c r="AG58" s="1186">
        <f t="shared" si="645"/>
        <v>0</v>
      </c>
      <c r="AH58" s="1186">
        <f t="shared" si="645"/>
        <v>0</v>
      </c>
      <c r="AI58" s="1186">
        <f t="shared" si="645"/>
        <v>15</v>
      </c>
      <c r="AJ58" s="1186">
        <f t="shared" si="645"/>
        <v>21</v>
      </c>
      <c r="AK58" s="1186">
        <f t="shared" si="645"/>
        <v>0</v>
      </c>
      <c r="AL58" s="1186">
        <f t="shared" si="645"/>
        <v>0</v>
      </c>
      <c r="AM58" s="1186">
        <f>SUM(AM11:AM57)</f>
        <v>0</v>
      </c>
      <c r="AN58" s="1186">
        <f>SUM(AN11:AN57)</f>
        <v>7</v>
      </c>
      <c r="AO58" s="1186">
        <f>SUM(AO11:AO57)</f>
        <v>11</v>
      </c>
      <c r="AP58" s="1186">
        <f>SUM(AP11:AP57)</f>
        <v>0</v>
      </c>
      <c r="AQ58" s="1186">
        <f>SUM(AQ11:AQ57)</f>
        <v>0</v>
      </c>
      <c r="AR58" s="1186">
        <f t="shared" si="645"/>
        <v>0</v>
      </c>
      <c r="AS58" s="1186">
        <f t="shared" si="645"/>
        <v>0</v>
      </c>
      <c r="AT58" s="1186">
        <f t="shared" si="645"/>
        <v>0</v>
      </c>
      <c r="AU58" s="1186">
        <f t="shared" si="645"/>
        <v>0</v>
      </c>
      <c r="AV58" s="1186">
        <f t="shared" si="645"/>
        <v>0</v>
      </c>
      <c r="AW58" s="1186">
        <f t="shared" si="645"/>
        <v>0</v>
      </c>
      <c r="AX58" s="1186">
        <f t="shared" si="645"/>
        <v>0</v>
      </c>
      <c r="AY58" s="1186">
        <f t="shared" si="645"/>
        <v>0</v>
      </c>
      <c r="AZ58" s="1186">
        <f t="shared" si="645"/>
        <v>0</v>
      </c>
      <c r="BA58" s="1186">
        <f t="shared" si="645"/>
        <v>0</v>
      </c>
      <c r="BB58" s="1186">
        <f>SUM(BB11:BB57)</f>
        <v>0</v>
      </c>
      <c r="BC58" s="1186">
        <f>SUM(BC11:BC57)</f>
        <v>0</v>
      </c>
      <c r="BD58" s="1186">
        <f>SUM(BD11:BD57)</f>
        <v>0</v>
      </c>
      <c r="BE58" s="1186">
        <f>SUM(BE11:BE57)</f>
        <v>0</v>
      </c>
      <c r="BF58" s="1186">
        <f>SUM(BF11:BF57)</f>
        <v>0</v>
      </c>
      <c r="BG58" s="1186">
        <f t="shared" si="645"/>
        <v>0</v>
      </c>
      <c r="BH58" s="1186">
        <f t="shared" si="645"/>
        <v>0</v>
      </c>
      <c r="BI58" s="1186">
        <f t="shared" si="645"/>
        <v>0</v>
      </c>
      <c r="BJ58" s="1186">
        <f t="shared" si="645"/>
        <v>0</v>
      </c>
      <c r="BK58" s="1186">
        <f t="shared" si="645"/>
        <v>0</v>
      </c>
      <c r="BL58" s="1186">
        <f>SUM(BL11:BL57)</f>
        <v>0</v>
      </c>
      <c r="BM58" s="1186">
        <f>SUM(BM11:BM57)</f>
        <v>0</v>
      </c>
      <c r="BN58" s="1186">
        <f>SUM(BN11:BN57)</f>
        <v>0</v>
      </c>
      <c r="BO58" s="1186">
        <f>SUM(BO11:BO57)</f>
        <v>0</v>
      </c>
      <c r="BP58" s="1186">
        <f>SUM(BP11:BP57)</f>
        <v>0</v>
      </c>
      <c r="BQ58" s="1186">
        <f t="shared" si="645"/>
        <v>0</v>
      </c>
      <c r="BR58" s="1186">
        <f t="shared" si="645"/>
        <v>0</v>
      </c>
      <c r="BS58" s="1186">
        <f t="shared" si="645"/>
        <v>0</v>
      </c>
      <c r="BT58" s="1186">
        <f t="shared" si="645"/>
        <v>0</v>
      </c>
      <c r="BU58" s="1186">
        <f t="shared" si="645"/>
        <v>0</v>
      </c>
      <c r="BV58" s="1186">
        <f>SUM(BV11:BV57)</f>
        <v>0</v>
      </c>
      <c r="BW58" s="1186">
        <f>SUM(BW11:BW57)</f>
        <v>0</v>
      </c>
      <c r="BX58" s="1186">
        <f>SUM(BX11:BX57)</f>
        <v>0</v>
      </c>
      <c r="BY58" s="1186">
        <f>SUM(BY11:BY57)</f>
        <v>0</v>
      </c>
      <c r="BZ58" s="1186">
        <f>SUM(BZ11:BZ57)</f>
        <v>0</v>
      </c>
      <c r="CA58" s="1186">
        <f t="shared" si="645"/>
        <v>0</v>
      </c>
      <c r="CB58" s="1186">
        <f t="shared" si="645"/>
        <v>0</v>
      </c>
      <c r="CC58" s="1186">
        <f t="shared" si="645"/>
        <v>0</v>
      </c>
      <c r="CD58" s="1186">
        <f t="shared" si="645"/>
        <v>0</v>
      </c>
      <c r="CE58" s="1186">
        <f t="shared" si="645"/>
        <v>0</v>
      </c>
      <c r="CF58" s="1186">
        <f t="shared" si="645"/>
        <v>0</v>
      </c>
      <c r="CG58" s="1186">
        <f t="shared" si="645"/>
        <v>0</v>
      </c>
      <c r="CH58" s="1186">
        <f t="shared" si="645"/>
        <v>0</v>
      </c>
      <c r="CI58" s="1186">
        <f t="shared" si="645"/>
        <v>0</v>
      </c>
      <c r="CJ58" s="1186">
        <f t="shared" si="645"/>
        <v>0</v>
      </c>
      <c r="CK58" s="1186">
        <f>SUM(CK11:CK57)</f>
        <v>0</v>
      </c>
      <c r="CL58" s="1186">
        <f>SUM(CL11:CL57)</f>
        <v>0</v>
      </c>
      <c r="CM58" s="1186">
        <f>SUM(CM11:CM57)</f>
        <v>0</v>
      </c>
      <c r="CN58" s="1186">
        <f>SUM(CN11:CN57)</f>
        <v>0</v>
      </c>
      <c r="CO58" s="1186">
        <f>SUM(CO11:CO57)</f>
        <v>0</v>
      </c>
      <c r="CP58" s="1186">
        <f t="shared" ref="CP58:CY58" si="646">SUM(CP11:CP57)</f>
        <v>0</v>
      </c>
      <c r="CQ58" s="1186">
        <f t="shared" si="646"/>
        <v>0</v>
      </c>
      <c r="CR58" s="1186">
        <f t="shared" si="646"/>
        <v>0</v>
      </c>
      <c r="CS58" s="1186">
        <f t="shared" si="646"/>
        <v>0</v>
      </c>
      <c r="CT58" s="1186">
        <f t="shared" si="646"/>
        <v>0</v>
      </c>
      <c r="CU58" s="1186">
        <f t="shared" si="646"/>
        <v>0</v>
      </c>
      <c r="CV58" s="1186">
        <f t="shared" si="646"/>
        <v>0</v>
      </c>
      <c r="CW58" s="1186">
        <f t="shared" si="646"/>
        <v>0</v>
      </c>
      <c r="CX58" s="1186">
        <f t="shared" si="646"/>
        <v>0</v>
      </c>
      <c r="CY58" s="1186">
        <f t="shared" si="646"/>
        <v>0</v>
      </c>
      <c r="CZ58" s="1186">
        <f t="shared" si="645"/>
        <v>0</v>
      </c>
      <c r="DA58" s="1186">
        <f t="shared" si="645"/>
        <v>0</v>
      </c>
      <c r="DB58" s="1186">
        <f t="shared" si="645"/>
        <v>0</v>
      </c>
      <c r="DC58" s="1186">
        <f t="shared" si="645"/>
        <v>0</v>
      </c>
      <c r="DD58" s="1186">
        <f t="shared" si="645"/>
        <v>0</v>
      </c>
      <c r="DE58" s="1186">
        <f t="shared" si="645"/>
        <v>0</v>
      </c>
      <c r="DF58" s="1186">
        <f t="shared" si="645"/>
        <v>0</v>
      </c>
      <c r="DG58" s="1186">
        <f t="shared" si="645"/>
        <v>0</v>
      </c>
      <c r="DH58" s="1186">
        <f t="shared" si="645"/>
        <v>0</v>
      </c>
      <c r="DI58" s="1186">
        <f t="shared" si="645"/>
        <v>0</v>
      </c>
      <c r="DJ58" s="1186">
        <f t="shared" si="645"/>
        <v>0</v>
      </c>
      <c r="DK58" s="1186">
        <f t="shared" si="645"/>
        <v>0</v>
      </c>
      <c r="DL58" s="1186">
        <f t="shared" si="645"/>
        <v>0</v>
      </c>
      <c r="DM58" s="1186">
        <f t="shared" si="645"/>
        <v>0</v>
      </c>
      <c r="DN58" s="1186">
        <f t="shared" si="645"/>
        <v>0</v>
      </c>
      <c r="DO58" s="1186">
        <f t="shared" si="645"/>
        <v>0</v>
      </c>
      <c r="DP58" s="1186">
        <f t="shared" si="645"/>
        <v>0</v>
      </c>
      <c r="DQ58" s="1186">
        <f t="shared" si="645"/>
        <v>0</v>
      </c>
      <c r="DR58" s="1186">
        <f t="shared" si="645"/>
        <v>0</v>
      </c>
      <c r="DS58" s="1186">
        <f t="shared" si="645"/>
        <v>0</v>
      </c>
      <c r="DT58" s="1186">
        <f t="shared" si="645"/>
        <v>0</v>
      </c>
      <c r="DU58" s="1186">
        <f t="shared" si="645"/>
        <v>0</v>
      </c>
      <c r="DV58" s="1186">
        <f t="shared" si="645"/>
        <v>0</v>
      </c>
      <c r="DW58" s="1186">
        <f t="shared" si="645"/>
        <v>0</v>
      </c>
      <c r="DX58" s="1186">
        <f t="shared" si="645"/>
        <v>0</v>
      </c>
      <c r="DY58" s="1186">
        <f t="shared" si="645"/>
        <v>0</v>
      </c>
      <c r="DZ58" s="1186">
        <f t="shared" si="645"/>
        <v>0</v>
      </c>
      <c r="EA58" s="1186">
        <f t="shared" si="645"/>
        <v>0</v>
      </c>
      <c r="EB58" s="1186">
        <f t="shared" si="645"/>
        <v>0</v>
      </c>
      <c r="EC58" s="1186">
        <f t="shared" si="645"/>
        <v>0</v>
      </c>
      <c r="ED58" s="1186">
        <f t="shared" si="645"/>
        <v>0</v>
      </c>
      <c r="EE58" s="1186">
        <f t="shared" si="645"/>
        <v>0</v>
      </c>
      <c r="EF58" s="1186">
        <f t="shared" si="645"/>
        <v>0</v>
      </c>
      <c r="EG58" s="1186">
        <f t="shared" si="645"/>
        <v>0</v>
      </c>
      <c r="EH58" s="1186">
        <f t="shared" si="645"/>
        <v>0</v>
      </c>
      <c r="EI58" s="1186">
        <f t="shared" ref="EI58:FL58" si="647">SUM(EI11:EI57)</f>
        <v>0</v>
      </c>
      <c r="EJ58" s="1186">
        <f t="shared" si="647"/>
        <v>0</v>
      </c>
      <c r="EK58" s="1186">
        <f t="shared" si="647"/>
        <v>0</v>
      </c>
      <c r="EL58" s="1186">
        <f t="shared" si="647"/>
        <v>0</v>
      </c>
      <c r="EM58" s="1186">
        <f t="shared" si="647"/>
        <v>0</v>
      </c>
      <c r="EN58" s="1186">
        <f t="shared" si="647"/>
        <v>0</v>
      </c>
      <c r="EO58" s="1186">
        <f t="shared" si="647"/>
        <v>0</v>
      </c>
      <c r="EP58" s="1186">
        <f t="shared" si="647"/>
        <v>0</v>
      </c>
      <c r="EQ58" s="1186">
        <f t="shared" si="647"/>
        <v>0</v>
      </c>
      <c r="ER58" s="1186">
        <f t="shared" si="647"/>
        <v>0</v>
      </c>
      <c r="ES58" s="1186">
        <f t="shared" si="647"/>
        <v>0</v>
      </c>
      <c r="ET58" s="1186">
        <f t="shared" si="647"/>
        <v>0</v>
      </c>
      <c r="EU58" s="1186">
        <f t="shared" si="647"/>
        <v>0</v>
      </c>
      <c r="EV58" s="1186">
        <f t="shared" si="647"/>
        <v>0</v>
      </c>
      <c r="EW58" s="1186">
        <f t="shared" si="647"/>
        <v>0</v>
      </c>
      <c r="EX58" s="1186">
        <f t="shared" si="647"/>
        <v>0</v>
      </c>
      <c r="EY58" s="1186">
        <f t="shared" si="647"/>
        <v>0</v>
      </c>
      <c r="EZ58" s="1186">
        <f t="shared" si="647"/>
        <v>0</v>
      </c>
      <c r="FA58" s="1186">
        <f t="shared" si="647"/>
        <v>0</v>
      </c>
      <c r="FB58" s="1186">
        <f t="shared" si="647"/>
        <v>0</v>
      </c>
      <c r="FC58" s="1186">
        <f t="shared" si="647"/>
        <v>0</v>
      </c>
      <c r="FD58" s="1186">
        <f t="shared" si="647"/>
        <v>0</v>
      </c>
      <c r="FE58" s="1186">
        <f t="shared" si="647"/>
        <v>0</v>
      </c>
      <c r="FF58" s="1186">
        <f t="shared" si="647"/>
        <v>0</v>
      </c>
      <c r="FG58" s="1186">
        <f t="shared" si="647"/>
        <v>0</v>
      </c>
      <c r="FH58" s="1186">
        <f t="shared" si="647"/>
        <v>0</v>
      </c>
      <c r="FI58" s="1186">
        <f t="shared" si="647"/>
        <v>0</v>
      </c>
      <c r="FJ58" s="1186">
        <f t="shared" si="647"/>
        <v>0</v>
      </c>
      <c r="FK58" s="1186">
        <f t="shared" si="647"/>
        <v>0</v>
      </c>
      <c r="FL58" s="1186">
        <f t="shared" si="647"/>
        <v>0</v>
      </c>
      <c r="FM58" s="1186">
        <f t="shared" si="645"/>
        <v>0</v>
      </c>
      <c r="FN58" s="1186">
        <f t="shared" si="645"/>
        <v>0</v>
      </c>
      <c r="FO58" s="1186">
        <f t="shared" si="645"/>
        <v>0</v>
      </c>
      <c r="FP58" s="1186">
        <f t="shared" si="645"/>
        <v>0</v>
      </c>
      <c r="FQ58" s="1186">
        <f t="shared" si="645"/>
        <v>0</v>
      </c>
      <c r="FR58" s="1186">
        <f t="shared" si="645"/>
        <v>0</v>
      </c>
      <c r="FS58" s="1186">
        <f t="shared" si="645"/>
        <v>0</v>
      </c>
      <c r="FT58" s="1186">
        <f t="shared" si="645"/>
        <v>0</v>
      </c>
      <c r="FU58" s="1186">
        <f t="shared" si="645"/>
        <v>0</v>
      </c>
      <c r="FV58" s="1186">
        <f t="shared" si="645"/>
        <v>0</v>
      </c>
      <c r="FW58" s="1186">
        <f t="shared" si="645"/>
        <v>0</v>
      </c>
      <c r="FX58" s="1186">
        <f t="shared" si="645"/>
        <v>1400</v>
      </c>
      <c r="FY58" s="1186">
        <f t="shared" si="645"/>
        <v>3824</v>
      </c>
      <c r="FZ58" s="1186">
        <f t="shared" si="645"/>
        <v>0</v>
      </c>
      <c r="GA58" s="1186">
        <f t="shared" si="645"/>
        <v>0</v>
      </c>
      <c r="GB58" s="1186">
        <f t="shared" si="645"/>
        <v>0</v>
      </c>
      <c r="GC58" s="1186">
        <f t="shared" si="645"/>
        <v>10500</v>
      </c>
      <c r="GD58" s="1186">
        <f t="shared" si="645"/>
        <v>20076</v>
      </c>
      <c r="GE58" s="1186">
        <f t="shared" si="645"/>
        <v>0</v>
      </c>
      <c r="GF58" s="1186">
        <f t="shared" si="645"/>
        <v>0</v>
      </c>
      <c r="GG58" s="1186">
        <f t="shared" si="645"/>
        <v>0</v>
      </c>
      <c r="GH58" s="1186">
        <f t="shared" si="645"/>
        <v>4900</v>
      </c>
      <c r="GI58" s="1186">
        <f t="shared" si="645"/>
        <v>10516</v>
      </c>
      <c r="GJ58" s="1186">
        <f t="shared" si="645"/>
        <v>0</v>
      </c>
      <c r="GK58" s="1186">
        <f t="shared" ref="GK58:JF58" si="648">SUM(GK11:GK57)</f>
        <v>0</v>
      </c>
      <c r="GL58" s="1186">
        <f>SUM(GL11:GL57)</f>
        <v>0</v>
      </c>
      <c r="GM58" s="1186">
        <f>SUM(GM11:GM57)</f>
        <v>0</v>
      </c>
      <c r="GN58" s="1186">
        <f>SUM(GN11:GN57)</f>
        <v>0</v>
      </c>
      <c r="GO58" s="1186">
        <f>SUM(GO11:GO57)</f>
        <v>0</v>
      </c>
      <c r="GP58" s="1186">
        <f>SUM(GP11:GP57)</f>
        <v>0</v>
      </c>
      <c r="GQ58" s="1186">
        <f t="shared" si="648"/>
        <v>0</v>
      </c>
      <c r="GR58" s="1186">
        <f t="shared" si="648"/>
        <v>0</v>
      </c>
      <c r="GS58" s="1186">
        <f t="shared" si="648"/>
        <v>0</v>
      </c>
      <c r="GT58" s="1186">
        <f t="shared" si="648"/>
        <v>0</v>
      </c>
      <c r="GU58" s="1186">
        <f t="shared" si="648"/>
        <v>0</v>
      </c>
      <c r="GV58" s="1186">
        <f>SUM(GV11:GV57)</f>
        <v>0</v>
      </c>
      <c r="GW58" s="1186">
        <f>SUM(GW11:GW57)</f>
        <v>0</v>
      </c>
      <c r="GX58" s="1186">
        <f>SUM(GX11:GX57)</f>
        <v>0</v>
      </c>
      <c r="GY58" s="1186">
        <f>SUM(GY11:GY57)</f>
        <v>0</v>
      </c>
      <c r="GZ58" s="1186">
        <f>SUM(GZ11:GZ57)</f>
        <v>0</v>
      </c>
      <c r="HA58" s="1186">
        <f t="shared" si="648"/>
        <v>0</v>
      </c>
      <c r="HB58" s="1186">
        <f t="shared" si="648"/>
        <v>0</v>
      </c>
      <c r="HC58" s="1186">
        <f t="shared" si="648"/>
        <v>0</v>
      </c>
      <c r="HD58" s="1186">
        <f t="shared" si="648"/>
        <v>0</v>
      </c>
      <c r="HE58" s="1186">
        <f t="shared" si="648"/>
        <v>0</v>
      </c>
      <c r="HF58" s="1186">
        <f t="shared" si="648"/>
        <v>0</v>
      </c>
      <c r="HG58" s="1186">
        <f t="shared" si="648"/>
        <v>0</v>
      </c>
      <c r="HH58" s="1186">
        <f t="shared" si="648"/>
        <v>0</v>
      </c>
      <c r="HI58" s="1186">
        <f t="shared" si="648"/>
        <v>0</v>
      </c>
      <c r="HJ58" s="1186">
        <f t="shared" si="648"/>
        <v>0</v>
      </c>
      <c r="HK58" s="1186">
        <f t="shared" si="648"/>
        <v>0</v>
      </c>
      <c r="HL58" s="1186">
        <f t="shared" si="648"/>
        <v>0</v>
      </c>
      <c r="HM58" s="1186">
        <f t="shared" si="648"/>
        <v>0</v>
      </c>
      <c r="HN58" s="1186">
        <f t="shared" si="648"/>
        <v>0</v>
      </c>
      <c r="HO58" s="1186">
        <f t="shared" si="648"/>
        <v>0</v>
      </c>
      <c r="HP58" s="1186">
        <f t="shared" si="648"/>
        <v>0</v>
      </c>
      <c r="HQ58" s="1186">
        <f t="shared" si="648"/>
        <v>24</v>
      </c>
      <c r="HR58" s="1186">
        <f t="shared" si="648"/>
        <v>36</v>
      </c>
      <c r="HS58" s="1186">
        <f t="shared" si="648"/>
        <v>0</v>
      </c>
      <c r="HT58" s="1186">
        <f t="shared" si="648"/>
        <v>0</v>
      </c>
      <c r="HU58" s="1186">
        <f t="shared" si="648"/>
        <v>0</v>
      </c>
      <c r="HV58" s="1186">
        <f t="shared" si="648"/>
        <v>0</v>
      </c>
      <c r="HW58" s="1186">
        <f t="shared" si="648"/>
        <v>0</v>
      </c>
      <c r="HX58" s="1186">
        <f t="shared" si="648"/>
        <v>0</v>
      </c>
      <c r="HY58" s="1186">
        <f t="shared" si="648"/>
        <v>0</v>
      </c>
      <c r="HZ58" s="1186">
        <f t="shared" si="648"/>
        <v>0</v>
      </c>
      <c r="IA58" s="1186">
        <f t="shared" si="648"/>
        <v>0</v>
      </c>
      <c r="IB58" s="1186">
        <f t="shared" si="648"/>
        <v>0</v>
      </c>
      <c r="IC58" s="1186">
        <f t="shared" si="648"/>
        <v>0</v>
      </c>
      <c r="ID58" s="1186">
        <f t="shared" si="648"/>
        <v>0</v>
      </c>
      <c r="IE58" s="1186">
        <f t="shared" si="648"/>
        <v>0</v>
      </c>
      <c r="IF58" s="1186">
        <f t="shared" si="648"/>
        <v>0</v>
      </c>
      <c r="IG58" s="1186">
        <f t="shared" si="648"/>
        <v>0</v>
      </c>
      <c r="IH58" s="1186">
        <f t="shared" si="648"/>
        <v>0</v>
      </c>
      <c r="II58" s="1186">
        <f t="shared" si="648"/>
        <v>0</v>
      </c>
      <c r="IJ58" s="1186">
        <f t="shared" si="648"/>
        <v>0</v>
      </c>
      <c r="IK58" s="1186">
        <f t="shared" si="648"/>
        <v>0</v>
      </c>
      <c r="IL58" s="1186">
        <f t="shared" si="648"/>
        <v>0</v>
      </c>
      <c r="IM58" s="1186">
        <f t="shared" si="648"/>
        <v>0</v>
      </c>
      <c r="IN58" s="1186">
        <f t="shared" si="648"/>
        <v>0</v>
      </c>
      <c r="IO58" s="1186">
        <f t="shared" si="648"/>
        <v>0</v>
      </c>
      <c r="IP58" s="1186">
        <f t="shared" si="648"/>
        <v>0</v>
      </c>
      <c r="IQ58" s="1186">
        <f t="shared" si="648"/>
        <v>0</v>
      </c>
      <c r="IR58" s="1186">
        <f t="shared" si="648"/>
        <v>0</v>
      </c>
      <c r="IS58" s="1186">
        <f t="shared" si="648"/>
        <v>0</v>
      </c>
      <c r="IT58" s="1186">
        <f t="shared" si="648"/>
        <v>0</v>
      </c>
      <c r="IU58" s="1186">
        <f t="shared" si="648"/>
        <v>0</v>
      </c>
      <c r="IV58" s="1186">
        <f t="shared" si="648"/>
        <v>0</v>
      </c>
      <c r="IW58" s="1186">
        <f t="shared" si="648"/>
        <v>0</v>
      </c>
      <c r="IX58" s="1186">
        <f t="shared" si="648"/>
        <v>0</v>
      </c>
      <c r="IY58" s="1186">
        <f t="shared" si="648"/>
        <v>0</v>
      </c>
      <c r="IZ58" s="1186">
        <f t="shared" si="648"/>
        <v>0</v>
      </c>
      <c r="JA58" s="1186">
        <f t="shared" si="648"/>
        <v>0</v>
      </c>
      <c r="JB58" s="1186">
        <f t="shared" si="648"/>
        <v>0</v>
      </c>
      <c r="JC58" s="1186">
        <f t="shared" si="648"/>
        <v>0</v>
      </c>
      <c r="JD58" s="1186">
        <f t="shared" si="648"/>
        <v>0</v>
      </c>
      <c r="JE58" s="1186">
        <f t="shared" si="648"/>
        <v>0</v>
      </c>
      <c r="JF58" s="1186">
        <f t="shared" si="648"/>
        <v>0</v>
      </c>
      <c r="JG58" s="1186">
        <f t="shared" ref="JG58:LP58" si="649">SUM(JG11:JG57)</f>
        <v>0</v>
      </c>
      <c r="JH58" s="1186">
        <f t="shared" si="649"/>
        <v>0</v>
      </c>
      <c r="JI58" s="1186">
        <f t="shared" si="649"/>
        <v>0</v>
      </c>
      <c r="JJ58" s="1186">
        <f t="shared" si="649"/>
        <v>24</v>
      </c>
      <c r="JK58" s="1186">
        <f t="shared" si="649"/>
        <v>36</v>
      </c>
      <c r="JL58" s="1186">
        <f t="shared" si="649"/>
        <v>0</v>
      </c>
      <c r="JM58" s="1186">
        <f t="shared" si="649"/>
        <v>0</v>
      </c>
      <c r="JN58" s="1186">
        <f t="shared" si="649"/>
        <v>0</v>
      </c>
      <c r="JO58" s="1186">
        <f t="shared" si="649"/>
        <v>0</v>
      </c>
      <c r="JP58" s="1186">
        <f t="shared" si="649"/>
        <v>0</v>
      </c>
      <c r="JQ58" s="1186">
        <f t="shared" si="649"/>
        <v>0</v>
      </c>
      <c r="JR58" s="1186">
        <f t="shared" si="649"/>
        <v>0</v>
      </c>
      <c r="JS58" s="1186">
        <f t="shared" si="649"/>
        <v>0</v>
      </c>
      <c r="JT58" s="1186">
        <f t="shared" si="649"/>
        <v>0</v>
      </c>
      <c r="JU58" s="1186">
        <f t="shared" si="649"/>
        <v>0</v>
      </c>
      <c r="JV58" s="1186">
        <f t="shared" si="649"/>
        <v>0</v>
      </c>
      <c r="JW58" s="1186">
        <f t="shared" si="649"/>
        <v>0</v>
      </c>
      <c r="JX58" s="1186">
        <f t="shared" si="649"/>
        <v>0</v>
      </c>
      <c r="JY58" s="1186">
        <f t="shared" si="649"/>
        <v>0</v>
      </c>
      <c r="JZ58" s="1186">
        <f t="shared" si="649"/>
        <v>0</v>
      </c>
      <c r="KA58" s="1186">
        <f t="shared" si="649"/>
        <v>0</v>
      </c>
      <c r="KB58" s="1186">
        <f t="shared" si="649"/>
        <v>0</v>
      </c>
      <c r="KC58" s="1186">
        <f t="shared" si="649"/>
        <v>0</v>
      </c>
      <c r="KD58" s="1186">
        <f t="shared" si="649"/>
        <v>0</v>
      </c>
      <c r="KE58" s="1186">
        <f t="shared" si="649"/>
        <v>0</v>
      </c>
      <c r="KF58" s="1186">
        <f t="shared" si="649"/>
        <v>0</v>
      </c>
      <c r="KG58" s="1186">
        <f t="shared" si="649"/>
        <v>0</v>
      </c>
      <c r="KH58" s="1186">
        <f t="shared" si="649"/>
        <v>0</v>
      </c>
      <c r="KI58" s="1186">
        <f t="shared" si="649"/>
        <v>0</v>
      </c>
      <c r="KJ58" s="1186">
        <f t="shared" si="649"/>
        <v>0</v>
      </c>
      <c r="KK58" s="1186">
        <f t="shared" si="649"/>
        <v>0</v>
      </c>
      <c r="KL58" s="1186">
        <f t="shared" si="649"/>
        <v>0</v>
      </c>
      <c r="KM58" s="1186">
        <f t="shared" si="649"/>
        <v>0</v>
      </c>
      <c r="KN58" s="1186">
        <f t="shared" si="649"/>
        <v>0</v>
      </c>
      <c r="KO58" s="1186">
        <f t="shared" si="649"/>
        <v>0</v>
      </c>
      <c r="KP58" s="1186">
        <f t="shared" si="649"/>
        <v>0</v>
      </c>
      <c r="KQ58" s="1186">
        <f t="shared" si="649"/>
        <v>0</v>
      </c>
      <c r="KR58" s="1186">
        <f t="shared" si="649"/>
        <v>0</v>
      </c>
      <c r="KS58" s="1186">
        <f t="shared" si="649"/>
        <v>0</v>
      </c>
      <c r="KT58" s="1186">
        <f t="shared" si="649"/>
        <v>0</v>
      </c>
      <c r="KU58" s="1186">
        <f t="shared" si="649"/>
        <v>0</v>
      </c>
      <c r="KV58" s="1186">
        <f t="shared" si="649"/>
        <v>0</v>
      </c>
      <c r="KW58" s="1186">
        <f t="shared" si="649"/>
        <v>0</v>
      </c>
      <c r="KX58" s="1186">
        <f t="shared" si="649"/>
        <v>0</v>
      </c>
      <c r="KY58" s="1186">
        <f t="shared" si="649"/>
        <v>0</v>
      </c>
      <c r="KZ58" s="1186">
        <f t="shared" si="649"/>
        <v>0</v>
      </c>
      <c r="LA58" s="1186">
        <f t="shared" si="649"/>
        <v>0</v>
      </c>
      <c r="LB58" s="1186">
        <f t="shared" si="649"/>
        <v>0</v>
      </c>
      <c r="LC58" s="1186">
        <f t="shared" si="649"/>
        <v>0</v>
      </c>
      <c r="LD58" s="1186">
        <f t="shared" si="649"/>
        <v>0</v>
      </c>
      <c r="LE58" s="1186">
        <f t="shared" si="649"/>
        <v>0</v>
      </c>
      <c r="LF58" s="1186">
        <f t="shared" si="649"/>
        <v>0</v>
      </c>
      <c r="LG58" s="1186">
        <f>SUM(LG11:LG57)</f>
        <v>0</v>
      </c>
      <c r="LH58" s="1186">
        <f>SUM(LH11:LH57)</f>
        <v>24</v>
      </c>
      <c r="LI58" s="1186">
        <f>SUM(LI11:LI57)</f>
        <v>36</v>
      </c>
      <c r="LJ58" s="1186">
        <f>SUM(LJ11:LJ57)</f>
        <v>0</v>
      </c>
      <c r="LK58" s="1186">
        <f>SUM(LK11:LK57)</f>
        <v>0</v>
      </c>
      <c r="LL58" s="1186">
        <f t="shared" si="649"/>
        <v>0</v>
      </c>
      <c r="LM58" s="1186">
        <f t="shared" si="649"/>
        <v>0</v>
      </c>
      <c r="LN58" s="1186">
        <f t="shared" si="649"/>
        <v>0</v>
      </c>
      <c r="LO58" s="1186">
        <f t="shared" si="649"/>
        <v>0</v>
      </c>
      <c r="LP58" s="1186">
        <f t="shared" si="649"/>
        <v>0</v>
      </c>
      <c r="LQ58" s="1186">
        <f>SUM(LQ11:LQ57)</f>
        <v>0</v>
      </c>
      <c r="LR58" s="1186">
        <f>SUM(LR11:LR57)</f>
        <v>0</v>
      </c>
      <c r="LS58" s="1186">
        <f>SUM(LS11:LS57)</f>
        <v>0</v>
      </c>
      <c r="LT58" s="1186">
        <f>SUM(LT11:LT57)</f>
        <v>0</v>
      </c>
      <c r="LU58" s="1186">
        <f>SUM(LU11:LU57)</f>
        <v>0</v>
      </c>
      <c r="LV58" s="1186">
        <f t="shared" ref="LV58:MJ58" si="650">SUM(LV11:LV57)</f>
        <v>0</v>
      </c>
      <c r="LW58" s="1186">
        <f t="shared" si="650"/>
        <v>0</v>
      </c>
      <c r="LX58" s="1186">
        <f t="shared" si="650"/>
        <v>0</v>
      </c>
      <c r="LY58" s="1186">
        <f t="shared" si="650"/>
        <v>0</v>
      </c>
      <c r="LZ58" s="1186">
        <f t="shared" si="650"/>
        <v>0</v>
      </c>
      <c r="MA58" s="1186">
        <f>SUM(MA11:MA57)</f>
        <v>0</v>
      </c>
      <c r="MB58" s="1186">
        <f>SUM(MB11:MB57)</f>
        <v>0</v>
      </c>
      <c r="MC58" s="1186">
        <f>SUM(MC11:MC57)</f>
        <v>0</v>
      </c>
      <c r="MD58" s="1186">
        <f>SUM(MD11:MD57)</f>
        <v>0</v>
      </c>
      <c r="ME58" s="1186">
        <f>SUM(ME11:ME57)</f>
        <v>0</v>
      </c>
      <c r="MF58" s="1186">
        <f t="shared" si="650"/>
        <v>0</v>
      </c>
      <c r="MG58" s="1186">
        <f t="shared" si="650"/>
        <v>0</v>
      </c>
      <c r="MH58" s="1186">
        <f t="shared" si="650"/>
        <v>0</v>
      </c>
      <c r="MI58" s="1186">
        <f t="shared" si="650"/>
        <v>0</v>
      </c>
      <c r="MJ58" s="1186">
        <f t="shared" si="650"/>
        <v>0</v>
      </c>
      <c r="MK58" s="1186">
        <f>SUM(MK11:MK57)</f>
        <v>0</v>
      </c>
      <c r="ML58" s="1186">
        <f>SUM(ML11:ML57)</f>
        <v>0</v>
      </c>
      <c r="MM58" s="1186">
        <f>SUM(MM11:MM57)</f>
        <v>0</v>
      </c>
      <c r="MN58" s="1186">
        <f>SUM(MN11:MN57)</f>
        <v>0</v>
      </c>
      <c r="MO58" s="1186">
        <f>SUM(MO11:MO57)</f>
        <v>0</v>
      </c>
      <c r="MP58" s="1186">
        <f t="shared" ref="MP58:OD58" si="651">SUM(MP11:MP57)</f>
        <v>0</v>
      </c>
      <c r="MQ58" s="1186">
        <f t="shared" si="651"/>
        <v>0</v>
      </c>
      <c r="MR58" s="1186">
        <f t="shared" si="651"/>
        <v>0</v>
      </c>
      <c r="MS58" s="1186">
        <f t="shared" si="651"/>
        <v>0</v>
      </c>
      <c r="MT58" s="1186">
        <f t="shared" si="651"/>
        <v>0</v>
      </c>
      <c r="MU58" s="1186">
        <f t="shared" si="651"/>
        <v>0</v>
      </c>
      <c r="MV58" s="1186">
        <f t="shared" si="651"/>
        <v>0</v>
      </c>
      <c r="MW58" s="1186">
        <f t="shared" si="651"/>
        <v>0</v>
      </c>
      <c r="MX58" s="1186">
        <f t="shared" si="651"/>
        <v>0</v>
      </c>
      <c r="MY58" s="1186">
        <f t="shared" si="651"/>
        <v>0</v>
      </c>
      <c r="MZ58" s="1186">
        <f t="shared" si="651"/>
        <v>0</v>
      </c>
      <c r="NA58" s="1186">
        <f t="shared" si="651"/>
        <v>0</v>
      </c>
      <c r="NB58" s="1186">
        <f t="shared" si="651"/>
        <v>0</v>
      </c>
      <c r="NC58" s="1186">
        <f t="shared" si="651"/>
        <v>0</v>
      </c>
      <c r="ND58" s="1186">
        <f t="shared" si="651"/>
        <v>0</v>
      </c>
      <c r="NE58" s="1186">
        <f t="shared" si="651"/>
        <v>0</v>
      </c>
      <c r="NF58" s="1186">
        <f t="shared" si="651"/>
        <v>0</v>
      </c>
      <c r="NG58" s="1186">
        <f t="shared" si="651"/>
        <v>0</v>
      </c>
      <c r="NH58" s="1186">
        <f t="shared" si="651"/>
        <v>0</v>
      </c>
      <c r="NI58" s="1186">
        <f t="shared" si="651"/>
        <v>0</v>
      </c>
      <c r="NJ58" s="1186">
        <f t="shared" si="651"/>
        <v>0</v>
      </c>
      <c r="NK58" s="1186">
        <f t="shared" si="651"/>
        <v>0</v>
      </c>
      <c r="NL58" s="1186">
        <f t="shared" si="651"/>
        <v>0</v>
      </c>
      <c r="NM58" s="1186">
        <f t="shared" si="651"/>
        <v>0</v>
      </c>
      <c r="NN58" s="1186">
        <f t="shared" si="651"/>
        <v>0</v>
      </c>
      <c r="NO58" s="1186">
        <f t="shared" si="651"/>
        <v>0</v>
      </c>
      <c r="NP58" s="1186">
        <f t="shared" si="651"/>
        <v>0</v>
      </c>
      <c r="NQ58" s="1186">
        <f t="shared" si="651"/>
        <v>0</v>
      </c>
      <c r="NR58" s="1186">
        <f t="shared" si="651"/>
        <v>0</v>
      </c>
      <c r="NS58" s="1186">
        <f t="shared" si="651"/>
        <v>0</v>
      </c>
      <c r="NT58" s="1186">
        <f t="shared" si="651"/>
        <v>0</v>
      </c>
      <c r="NU58" s="1186">
        <f t="shared" si="651"/>
        <v>24</v>
      </c>
      <c r="NV58" s="1186">
        <f t="shared" si="651"/>
        <v>36</v>
      </c>
      <c r="NW58" s="1186">
        <f t="shared" si="651"/>
        <v>0</v>
      </c>
      <c r="NX58" s="1186">
        <f t="shared" si="651"/>
        <v>0</v>
      </c>
      <c r="NY58" s="1186">
        <f t="shared" si="651"/>
        <v>0</v>
      </c>
      <c r="NZ58" s="1186">
        <f t="shared" si="651"/>
        <v>0</v>
      </c>
      <c r="OA58" s="1186">
        <f t="shared" si="651"/>
        <v>0</v>
      </c>
      <c r="OB58" s="1186">
        <f t="shared" si="651"/>
        <v>0</v>
      </c>
      <c r="OC58" s="1186">
        <f t="shared" si="651"/>
        <v>0</v>
      </c>
      <c r="OD58" s="1186">
        <f t="shared" si="651"/>
        <v>0</v>
      </c>
      <c r="OE58" s="251"/>
      <c r="OF58" s="251"/>
      <c r="OG58" s="251"/>
      <c r="OH58" s="251"/>
      <c r="OI58" s="251"/>
      <c r="OJ58" s="251"/>
      <c r="OK58" s="251"/>
      <c r="OL58" s="251"/>
      <c r="OM58" s="251"/>
      <c r="ON58" s="251"/>
      <c r="OO58" s="251"/>
      <c r="OP58" s="251"/>
      <c r="OQ58" s="251"/>
      <c r="OR58" s="251"/>
      <c r="OS58" s="251"/>
      <c r="OT58" s="251"/>
      <c r="OU58" s="251"/>
      <c r="OY58" s="1794" t="s">
        <v>1201</v>
      </c>
      <c r="OZ58" s="1799">
        <v>54</v>
      </c>
    </row>
    <row r="59" spans="1:416" s="77" customFormat="1" ht="14.1" customHeight="1">
      <c r="B59" s="3930">
        <f>IF(SUM(E18:E57)=0,"",(B18*E18+B19*E19+B20*E20+B21*E21+B22*E22+B23*E23+B24*E24+B25*E25+B26*E26+B27*E27+B28*E28+B29*E29+B30*E30+B31*E31+B32*E32+B33*E33+B34*E34+B35*E35+B36*E36+B37*E37+B38*E38+B39*E39+B40*E40+B41*E41+B42*E42+B43*E43+B44*E44+B45*E45+B46*E46+B47*E47+B48*E48+B49*E49+B50*E50+B51*E51+B52*E52+B53*E53+B54*E54+B55*E55+B56*E56+B57*E57)/SUM(E18:E57))</f>
        <v>58</v>
      </c>
      <c r="C59" s="3931"/>
      <c r="D59" s="2542" t="s">
        <v>1202</v>
      </c>
      <c r="E59" s="775">
        <f>SUM(E18:E57)</f>
        <v>60</v>
      </c>
      <c r="F59" s="777">
        <f>(E18*F18+E19*F19+E20*F20+E21*F21+E22*F22+E23*F23+E24*F24+E25*F25+E26*F26+E27*F27+E28*F28+E29*F29+E30*F30+E31*F31+E32*F32+E33*F33+E34*F34+E35*F35+E36*F36+E37*F37+E38*F38+E39*F39+E40*F40+E41*F41+E42*F42+E43*F43+E44*F44+E45*F45+E46*F46+E47*F47+E48*F48+E49*F49+E50*F50+E51*F51+E52*F52+E53*F53+E54*F54+E55*F55+E56*F56+E57*F57)</f>
        <v>51216</v>
      </c>
      <c r="H59" s="3929"/>
      <c r="I59" s="779" t="s">
        <v>1203</v>
      </c>
      <c r="J59" s="780" t="str">
        <f>IF(P76=0,"",IF(SUM(P68:P71)/P76&gt;=0.2,"Pass","Fail"))</f>
        <v>Pass</v>
      </c>
      <c r="K59" s="320"/>
      <c r="L59" s="72" t="s">
        <v>1204</v>
      </c>
      <c r="M59" s="2717">
        <f>M58*12</f>
        <v>806664</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1205</v>
      </c>
      <c r="OZ59" s="1799">
        <v>55</v>
      </c>
    </row>
    <row r="60" spans="1:416" ht="7.5" customHeight="1">
      <c r="A60" s="3932" t="s">
        <v>1206</v>
      </c>
      <c r="B60" s="3932"/>
      <c r="C60" s="3932"/>
      <c r="D60" s="3932"/>
      <c r="E60" s="3932"/>
      <c r="F60" s="3932"/>
      <c r="G60" s="3932"/>
      <c r="H60" s="3932"/>
      <c r="I60" s="3932"/>
      <c r="J60" s="3932"/>
      <c r="K60" s="3932"/>
      <c r="L60" s="3932"/>
      <c r="M60" s="3932"/>
      <c r="N60" s="3932"/>
      <c r="O60" s="3932"/>
      <c r="P60" s="3932"/>
      <c r="Q60" s="3932"/>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932"/>
      <c r="B61" s="3932"/>
      <c r="C61" s="3932"/>
      <c r="D61" s="3932"/>
      <c r="E61" s="3932"/>
      <c r="F61" s="3932"/>
      <c r="G61" s="3932"/>
      <c r="H61" s="3932"/>
      <c r="I61" s="3932"/>
      <c r="J61" s="3932"/>
      <c r="K61" s="3932"/>
      <c r="L61" s="3932"/>
      <c r="M61" s="3932"/>
      <c r="N61" s="3932"/>
      <c r="O61" s="3932"/>
      <c r="P61" s="3932"/>
      <c r="Q61" s="3932"/>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85" customHeight="1">
      <c r="A62" s="6" t="s">
        <v>25</v>
      </c>
      <c r="B62" s="6" t="s">
        <v>1207</v>
      </c>
      <c r="C62" s="77"/>
      <c r="D62" s="77"/>
      <c r="E62" s="77"/>
      <c r="F62" s="77"/>
      <c r="G62" s="77"/>
      <c r="H62" s="77"/>
      <c r="I62" s="77"/>
      <c r="J62" s="77"/>
      <c r="K62" s="1295" t="s">
        <v>1208</v>
      </c>
      <c r="L62" s="77"/>
      <c r="M62" s="77"/>
      <c r="N62" s="77"/>
      <c r="O62" s="3933" t="s">
        <v>1833</v>
      </c>
      <c r="P62" s="3934"/>
      <c r="S62" s="3583" t="str">
        <f>B62</f>
        <v>UNIT SUMMARY</v>
      </c>
      <c r="T62" s="3583"/>
      <c r="U62" s="3583"/>
      <c r="V62" s="3583"/>
      <c r="AY62" s="253"/>
      <c r="BD62" s="253"/>
      <c r="MX62" s="255"/>
      <c r="NM62" s="251"/>
      <c r="OZ62" s="1799">
        <v>58</v>
      </c>
    </row>
    <row r="63" spans="1:416" ht="14.25" customHeight="1">
      <c r="A63" s="6"/>
      <c r="B63" s="6"/>
      <c r="C63" s="77"/>
      <c r="D63" s="77"/>
      <c r="E63" s="77"/>
      <c r="F63" s="77"/>
      <c r="G63" s="77"/>
      <c r="H63" s="77"/>
      <c r="I63" s="77"/>
      <c r="J63" s="77"/>
      <c r="K63" s="95" t="s">
        <v>1209</v>
      </c>
      <c r="L63" s="77"/>
      <c r="M63" s="77"/>
      <c r="N63" s="77"/>
      <c r="O63" s="3994" t="s">
        <v>7678</v>
      </c>
      <c r="P63" s="3995"/>
      <c r="S63" s="60"/>
      <c r="T63" s="60"/>
      <c r="U63" s="261"/>
      <c r="AY63" s="253"/>
      <c r="BD63" s="253"/>
      <c r="MX63" s="255"/>
      <c r="NM63" s="251"/>
      <c r="OZ63" s="1799">
        <v>59</v>
      </c>
    </row>
    <row r="64" spans="1:416" ht="14.85" customHeight="1">
      <c r="A64" s="6"/>
      <c r="B64" s="6" t="s">
        <v>1211</v>
      </c>
      <c r="C64" s="77"/>
      <c r="D64" s="77"/>
      <c r="E64" s="77"/>
      <c r="F64" s="77"/>
      <c r="G64" s="77"/>
      <c r="H64" s="35" t="s">
        <v>1212</v>
      </c>
      <c r="I64" s="35"/>
      <c r="J64" s="35"/>
      <c r="K64" s="2524" t="s">
        <v>770</v>
      </c>
      <c r="L64" s="57" t="s">
        <v>1213</v>
      </c>
      <c r="M64" s="57" t="s">
        <v>1214</v>
      </c>
      <c r="N64" s="57" t="s">
        <v>1215</v>
      </c>
      <c r="O64" s="57" t="s">
        <v>1216</v>
      </c>
      <c r="P64" s="57" t="s">
        <v>287</v>
      </c>
      <c r="S64" s="6" t="s">
        <v>791</v>
      </c>
      <c r="T64" s="6"/>
      <c r="U64" s="261"/>
      <c r="AR64" s="1298"/>
      <c r="AS64" s="1298"/>
      <c r="AT64" s="1298"/>
      <c r="AU64" s="1298"/>
      <c r="AV64" s="1298"/>
      <c r="AW64" s="1298"/>
      <c r="AY64" s="253"/>
      <c r="BB64" s="1298"/>
      <c r="BD64" s="253"/>
      <c r="MX64" s="255"/>
      <c r="NM64" s="251"/>
      <c r="OZ64" s="1798">
        <v>60</v>
      </c>
    </row>
    <row r="65" spans="1:520" ht="15" customHeight="1">
      <c r="A65" s="3996" t="s">
        <v>1217</v>
      </c>
      <c r="B65" s="3996"/>
      <c r="C65" s="43" t="s">
        <v>1218</v>
      </c>
      <c r="D65" s="43"/>
      <c r="E65" s="43"/>
      <c r="F65" s="43"/>
      <c r="G65" s="35"/>
      <c r="H65" s="48" t="s">
        <v>1219</v>
      </c>
      <c r="I65" s="13"/>
      <c r="J65" s="35"/>
      <c r="K65" s="2718">
        <f>X58</f>
        <v>0</v>
      </c>
      <c r="L65" s="2719">
        <f>Y58</f>
        <v>0</v>
      </c>
      <c r="M65" s="2719">
        <f>Z58</f>
        <v>0</v>
      </c>
      <c r="N65" s="2719">
        <f>AA58</f>
        <v>0</v>
      </c>
      <c r="O65" s="2720">
        <f>AB58</f>
        <v>0</v>
      </c>
      <c r="P65" s="2721">
        <f t="shared" ref="P65:P76" si="652">SUM(K65:O65)</f>
        <v>0</v>
      </c>
      <c r="Q65" s="3997" t="s">
        <v>1220</v>
      </c>
      <c r="R65" s="2590"/>
      <c r="S65" s="3920"/>
      <c r="T65" s="3921"/>
      <c r="U65" s="3921"/>
      <c r="V65" s="3921"/>
      <c r="W65" s="3922"/>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996"/>
      <c r="B66" s="3996"/>
      <c r="C66" s="43"/>
      <c r="D66" s="43"/>
      <c r="E66" s="43"/>
      <c r="F66" s="43"/>
      <c r="G66" s="35"/>
      <c r="H66" s="48" t="s">
        <v>1221</v>
      </c>
      <c r="I66" s="13"/>
      <c r="J66" s="35"/>
      <c r="K66" s="787">
        <f>AC58</f>
        <v>0</v>
      </c>
      <c r="L66" s="788">
        <f>AD58</f>
        <v>2</v>
      </c>
      <c r="M66" s="788">
        <f>AE58</f>
        <v>4</v>
      </c>
      <c r="N66" s="788">
        <f>AF58</f>
        <v>0</v>
      </c>
      <c r="O66" s="789">
        <f>AG58</f>
        <v>0</v>
      </c>
      <c r="P66" s="762">
        <f t="shared" si="652"/>
        <v>6</v>
      </c>
      <c r="Q66" s="3997"/>
      <c r="R66" s="2590"/>
      <c r="S66" s="3916"/>
      <c r="T66" s="3917"/>
      <c r="U66" s="3917"/>
      <c r="V66" s="3917"/>
      <c r="W66" s="3918"/>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996"/>
      <c r="B67" s="3996"/>
      <c r="C67" s="43"/>
      <c r="D67" s="43"/>
      <c r="E67" s="43"/>
      <c r="F67" s="43"/>
      <c r="G67" s="35"/>
      <c r="H67" s="48" t="s">
        <v>1222</v>
      </c>
      <c r="I67" s="13"/>
      <c r="J67" s="35"/>
      <c r="K67" s="787">
        <f>AH58</f>
        <v>0</v>
      </c>
      <c r="L67" s="788">
        <f>AI58</f>
        <v>15</v>
      </c>
      <c r="M67" s="788">
        <f>AJ58</f>
        <v>21</v>
      </c>
      <c r="N67" s="788">
        <f>AK58</f>
        <v>0</v>
      </c>
      <c r="O67" s="789">
        <f>AL58</f>
        <v>0</v>
      </c>
      <c r="P67" s="762">
        <f t="shared" si="652"/>
        <v>36</v>
      </c>
      <c r="Q67" s="3997"/>
      <c r="R67" s="2590"/>
      <c r="S67" s="3916"/>
      <c r="T67" s="3917"/>
      <c r="U67" s="3917"/>
      <c r="V67" s="3917"/>
      <c r="W67" s="3918"/>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996"/>
      <c r="B68" s="3996"/>
      <c r="C68" s="43"/>
      <c r="D68" s="43"/>
      <c r="E68" s="43"/>
      <c r="F68" s="43"/>
      <c r="G68" s="35"/>
      <c r="H68" s="48" t="s">
        <v>1223</v>
      </c>
      <c r="I68" s="13"/>
      <c r="J68" s="655"/>
      <c r="K68" s="793">
        <f>AM58</f>
        <v>0</v>
      </c>
      <c r="L68" s="794">
        <f>AN58</f>
        <v>7</v>
      </c>
      <c r="M68" s="794">
        <f>AO58</f>
        <v>11</v>
      </c>
      <c r="N68" s="794">
        <f>AP58</f>
        <v>0</v>
      </c>
      <c r="O68" s="795">
        <f>AQ58</f>
        <v>0</v>
      </c>
      <c r="P68" s="332">
        <f t="shared" si="652"/>
        <v>18</v>
      </c>
      <c r="Q68" s="3997"/>
      <c r="R68" s="2590"/>
      <c r="S68" s="3916"/>
      <c r="T68" s="3917"/>
      <c r="U68" s="3917"/>
      <c r="V68" s="3917"/>
      <c r="W68" s="3918"/>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996"/>
      <c r="B69" s="3996"/>
      <c r="C69" s="43"/>
      <c r="D69" s="43"/>
      <c r="E69" s="43"/>
      <c r="F69" s="43"/>
      <c r="G69" s="35"/>
      <c r="H69" s="48" t="s">
        <v>1224</v>
      </c>
      <c r="I69" s="13"/>
      <c r="J69" s="655"/>
      <c r="K69" s="787">
        <f>AR58</f>
        <v>0</v>
      </c>
      <c r="L69" s="788">
        <f>AS58</f>
        <v>0</v>
      </c>
      <c r="M69" s="788">
        <f>AT58</f>
        <v>0</v>
      </c>
      <c r="N69" s="788">
        <f>AU58</f>
        <v>0</v>
      </c>
      <c r="O69" s="789">
        <f>AV58</f>
        <v>0</v>
      </c>
      <c r="P69" s="762">
        <f t="shared" si="652"/>
        <v>0</v>
      </c>
      <c r="Q69" s="3997"/>
      <c r="R69" s="2590"/>
      <c r="S69" s="3916"/>
      <c r="T69" s="3917"/>
      <c r="U69" s="3917"/>
      <c r="V69" s="3917"/>
      <c r="W69" s="3918"/>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996"/>
      <c r="B70" s="3996"/>
      <c r="C70" s="43"/>
      <c r="D70" s="43"/>
      <c r="E70" s="43"/>
      <c r="F70" s="43"/>
      <c r="G70" s="35"/>
      <c r="H70" s="48" t="s">
        <v>1225</v>
      </c>
      <c r="I70" s="13"/>
      <c r="J70" s="35"/>
      <c r="K70" s="787">
        <f>AW58</f>
        <v>0</v>
      </c>
      <c r="L70" s="788">
        <f>AX58</f>
        <v>0</v>
      </c>
      <c r="M70" s="788">
        <f>AY58</f>
        <v>0</v>
      </c>
      <c r="N70" s="788">
        <f>AZ58</f>
        <v>0</v>
      </c>
      <c r="O70" s="789">
        <f>BA58</f>
        <v>0</v>
      </c>
      <c r="P70" s="762">
        <f t="shared" si="652"/>
        <v>0</v>
      </c>
      <c r="Q70" s="3997"/>
      <c r="R70" s="2590"/>
      <c r="S70" s="3916"/>
      <c r="T70" s="3917"/>
      <c r="U70" s="3917"/>
      <c r="V70" s="3917"/>
      <c r="W70" s="3918"/>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996"/>
      <c r="B71" s="3996"/>
      <c r="C71" s="3"/>
      <c r="D71" s="43"/>
      <c r="E71" s="43"/>
      <c r="F71" s="43"/>
      <c r="G71" s="35"/>
      <c r="H71" s="48" t="s">
        <v>1226</v>
      </c>
      <c r="I71" s="13"/>
      <c r="J71" s="35"/>
      <c r="K71" s="2358">
        <f>BB58</f>
        <v>0</v>
      </c>
      <c r="L71" s="2359">
        <f>BC58</f>
        <v>0</v>
      </c>
      <c r="M71" s="2359">
        <f>BD58</f>
        <v>0</v>
      </c>
      <c r="N71" s="2359">
        <f>BE58</f>
        <v>0</v>
      </c>
      <c r="O71" s="2360">
        <f>BF58</f>
        <v>0</v>
      </c>
      <c r="P71" s="332">
        <f t="shared" si="652"/>
        <v>0</v>
      </c>
      <c r="Q71" s="3997"/>
      <c r="R71" s="2590"/>
      <c r="S71" s="3916"/>
      <c r="T71" s="3917"/>
      <c r="U71" s="3917"/>
      <c r="V71" s="3917"/>
      <c r="W71" s="3918"/>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996"/>
      <c r="B72" s="3996"/>
      <c r="C72" s="48" t="s">
        <v>1227</v>
      </c>
      <c r="D72" s="43"/>
      <c r="E72" s="43"/>
      <c r="F72" s="43"/>
      <c r="G72" s="35"/>
      <c r="H72" s="40"/>
      <c r="I72" s="25"/>
      <c r="J72" s="35"/>
      <c r="K72" s="2722">
        <f>SUM(K65:K71)</f>
        <v>0</v>
      </c>
      <c r="L72" s="2722">
        <f>SUM(L65:L71)</f>
        <v>24</v>
      </c>
      <c r="M72" s="2722">
        <f>SUM(M65:M71)</f>
        <v>36</v>
      </c>
      <c r="N72" s="2722">
        <f>SUM(N65:N71)</f>
        <v>0</v>
      </c>
      <c r="O72" s="2722">
        <f>SUM(O65:O71)</f>
        <v>0</v>
      </c>
      <c r="P72" s="2722">
        <f t="shared" si="652"/>
        <v>60</v>
      </c>
      <c r="Q72" s="3998"/>
      <c r="S72" s="3916"/>
      <c r="T72" s="3917"/>
      <c r="U72" s="3917"/>
      <c r="V72" s="3917"/>
      <c r="W72" s="3918"/>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996"/>
      <c r="B73" s="3996"/>
      <c r="C73" s="77"/>
      <c r="D73" s="43"/>
      <c r="E73" s="43"/>
      <c r="F73" s="43"/>
      <c r="G73" s="35"/>
      <c r="H73" s="48" t="s">
        <v>1159</v>
      </c>
      <c r="I73" s="13"/>
      <c r="J73" s="35"/>
      <c r="K73" s="546">
        <f>BG58</f>
        <v>0</v>
      </c>
      <c r="L73" s="546">
        <f>BH58</f>
        <v>0</v>
      </c>
      <c r="M73" s="546">
        <f>BI58</f>
        <v>0</v>
      </c>
      <c r="N73" s="546">
        <f>BJ58</f>
        <v>0</v>
      </c>
      <c r="O73" s="546">
        <f>BK58</f>
        <v>0</v>
      </c>
      <c r="P73" s="546">
        <f t="shared" si="652"/>
        <v>0</v>
      </c>
      <c r="S73" s="3916"/>
      <c r="T73" s="3917"/>
      <c r="U73" s="3917"/>
      <c r="V73" s="3917"/>
      <c r="W73" s="3918"/>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996"/>
      <c r="B74" s="3996"/>
      <c r="C74" s="763" t="s">
        <v>1228</v>
      </c>
      <c r="D74" s="763"/>
      <c r="E74" s="763"/>
      <c r="F74" s="763"/>
      <c r="G74" s="764"/>
      <c r="H74" s="972"/>
      <c r="I74" s="23"/>
      <c r="J74" s="764"/>
      <c r="K74" s="2723">
        <f>SUM(K72:K73)</f>
        <v>0</v>
      </c>
      <c r="L74" s="2723">
        <f>SUM(L72:L73)</f>
        <v>24</v>
      </c>
      <c r="M74" s="2723">
        <f>SUM(M72:M73)</f>
        <v>36</v>
      </c>
      <c r="N74" s="2723">
        <f>SUM(N72:N73)</f>
        <v>0</v>
      </c>
      <c r="O74" s="2723">
        <f>SUM(O72:O73)</f>
        <v>0</v>
      </c>
      <c r="P74" s="2723">
        <f t="shared" si="652"/>
        <v>60</v>
      </c>
      <c r="S74" s="3916"/>
      <c r="T74" s="3917"/>
      <c r="U74" s="3917"/>
      <c r="V74" s="3917"/>
      <c r="W74" s="3918"/>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996"/>
      <c r="B75" s="3996"/>
      <c r="C75" s="77"/>
      <c r="D75" s="43"/>
      <c r="E75" s="43"/>
      <c r="F75" s="43"/>
      <c r="G75" s="35"/>
      <c r="H75" s="48" t="s">
        <v>1229</v>
      </c>
      <c r="I75" s="13"/>
      <c r="J75" s="35"/>
      <c r="K75" s="546">
        <f>FM58</f>
        <v>0</v>
      </c>
      <c r="L75" s="546">
        <f>FN58</f>
        <v>0</v>
      </c>
      <c r="M75" s="546">
        <f>FO58</f>
        <v>0</v>
      </c>
      <c r="N75" s="546">
        <f>FP58</f>
        <v>0</v>
      </c>
      <c r="O75" s="546">
        <f>FQ58</f>
        <v>0</v>
      </c>
      <c r="P75" s="546">
        <f t="shared" si="652"/>
        <v>0</v>
      </c>
      <c r="Q75" s="98" t="s">
        <v>1230</v>
      </c>
      <c r="S75" s="3916"/>
      <c r="T75" s="3917"/>
      <c r="U75" s="3917"/>
      <c r="V75" s="3917"/>
      <c r="W75" s="3918"/>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996"/>
      <c r="B76" s="3996"/>
      <c r="C76" s="3" t="s">
        <v>1231</v>
      </c>
      <c r="D76" s="43"/>
      <c r="E76" s="43"/>
      <c r="F76" s="43"/>
      <c r="G76" s="35"/>
      <c r="H76" s="48"/>
      <c r="I76" s="13"/>
      <c r="J76" s="35"/>
      <c r="K76" s="2724">
        <f>SUM(K74:K75)</f>
        <v>0</v>
      </c>
      <c r="L76" s="2724">
        <f>SUM(L74:L75)</f>
        <v>24</v>
      </c>
      <c r="M76" s="2724">
        <f>SUM(M74:M75)</f>
        <v>36</v>
      </c>
      <c r="N76" s="2724">
        <f>SUM(N74:N75)</f>
        <v>0</v>
      </c>
      <c r="O76" s="2724">
        <f>SUM(O74:O75)</f>
        <v>0</v>
      </c>
      <c r="P76" s="2724">
        <f t="shared" si="652"/>
        <v>60</v>
      </c>
      <c r="S76" s="3913"/>
      <c r="T76" s="3914"/>
      <c r="U76" s="3914"/>
      <c r="V76" s="3914"/>
      <c r="W76" s="3915"/>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350000000000001" customHeight="1">
      <c r="A77" s="3996"/>
      <c r="B77" s="3996"/>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996"/>
      <c r="B78" s="3996"/>
      <c r="C78" s="3999" t="s">
        <v>1232</v>
      </c>
      <c r="D78" s="3999"/>
      <c r="E78" s="3999"/>
      <c r="F78" s="3999"/>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35" customHeight="1">
      <c r="A79" s="3996"/>
      <c r="B79" s="3996"/>
      <c r="C79" s="3999"/>
      <c r="D79" s="3999"/>
      <c r="E79" s="3999"/>
      <c r="F79" s="3999"/>
      <c r="G79" s="77"/>
      <c r="H79" s="48" t="s">
        <v>1219</v>
      </c>
      <c r="I79" s="13"/>
      <c r="J79" s="949"/>
      <c r="K79" s="2725" t="str">
        <f t="shared" ref="K79:P79" si="653">IF(OR(K65=0,K76=0),"",K65/K76)</f>
        <v/>
      </c>
      <c r="L79" s="2726" t="str">
        <f t="shared" si="653"/>
        <v/>
      </c>
      <c r="M79" s="2726" t="str">
        <f t="shared" si="653"/>
        <v/>
      </c>
      <c r="N79" s="2726" t="str">
        <f t="shared" si="653"/>
        <v/>
      </c>
      <c r="O79" s="2726" t="str">
        <f t="shared" si="653"/>
        <v/>
      </c>
      <c r="P79" s="2727" t="str">
        <f t="shared" si="653"/>
        <v/>
      </c>
      <c r="Q79" s="16" t="s">
        <v>1233</v>
      </c>
      <c r="S79" s="3920"/>
      <c r="T79" s="3921"/>
      <c r="U79" s="3921"/>
      <c r="V79" s="3921"/>
      <c r="W79" s="3922"/>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996"/>
      <c r="B80" s="3996"/>
      <c r="C80" s="490"/>
      <c r="D80" s="77"/>
      <c r="E80" s="77"/>
      <c r="F80" s="77"/>
      <c r="G80" s="77"/>
      <c r="H80" s="48" t="s">
        <v>1234</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916"/>
      <c r="T80" s="3917"/>
      <c r="U80" s="3917"/>
      <c r="V80" s="3917"/>
      <c r="W80" s="3918"/>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996"/>
      <c r="B81" s="3996"/>
      <c r="C81" s="490"/>
      <c r="D81" s="77"/>
      <c r="E81" s="77"/>
      <c r="F81" s="77"/>
      <c r="G81" s="1005"/>
      <c r="H81" s="974" t="s">
        <v>1235</v>
      </c>
      <c r="I81" s="950"/>
      <c r="J81" s="43"/>
      <c r="K81" s="1012" t="str">
        <f t="shared" ref="K81:P81" si="654">IF(OR(K80="",K65=0),"", K65-K80)</f>
        <v/>
      </c>
      <c r="L81" s="1013" t="str">
        <f t="shared" si="654"/>
        <v/>
      </c>
      <c r="M81" s="1013" t="str">
        <f t="shared" si="654"/>
        <v/>
      </c>
      <c r="N81" s="1013" t="str">
        <f t="shared" si="654"/>
        <v/>
      </c>
      <c r="O81" s="1013" t="str">
        <f t="shared" si="654"/>
        <v/>
      </c>
      <c r="P81" s="1014" t="str">
        <f t="shared" si="654"/>
        <v/>
      </c>
      <c r="S81" s="3916"/>
      <c r="T81" s="3917"/>
      <c r="U81" s="3917"/>
      <c r="V81" s="3917"/>
      <c r="W81" s="3918"/>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996"/>
      <c r="B82" s="3996"/>
      <c r="C82" s="490"/>
      <c r="D82" s="4000" t="s">
        <v>1236</v>
      </c>
      <c r="E82" s="4000"/>
      <c r="F82" s="4000"/>
      <c r="G82" s="77"/>
      <c r="H82" s="48" t="s">
        <v>1221</v>
      </c>
      <c r="I82" s="13"/>
      <c r="J82" s="43"/>
      <c r="K82" s="969" t="str">
        <f t="shared" ref="K82:P82" si="655">IF(OR(K66=0,K76=0),"",K66/K76)</f>
        <v/>
      </c>
      <c r="L82" s="970">
        <f t="shared" si="655"/>
        <v>8.3333333333333329E-2</v>
      </c>
      <c r="M82" s="970">
        <f t="shared" si="655"/>
        <v>0.1111111111111111</v>
      </c>
      <c r="N82" s="970" t="str">
        <f t="shared" si="655"/>
        <v/>
      </c>
      <c r="O82" s="970" t="str">
        <f t="shared" si="655"/>
        <v/>
      </c>
      <c r="P82" s="971">
        <f t="shared" si="655"/>
        <v>0.1</v>
      </c>
      <c r="S82" s="3916"/>
      <c r="T82" s="3917"/>
      <c r="U82" s="3917"/>
      <c r="V82" s="3917"/>
      <c r="W82" s="3918"/>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4000"/>
      <c r="E83" s="4000"/>
      <c r="F83" s="4000"/>
      <c r="G83" s="77"/>
      <c r="H83" s="48" t="s">
        <v>1234</v>
      </c>
      <c r="I83" s="13"/>
      <c r="J83" s="43"/>
      <c r="K83" s="1010" t="str">
        <f>IF(OR(K66=0,P82="",K76=0),"",P82*K76)</f>
        <v/>
      </c>
      <c r="L83" s="1010">
        <f>IF(OR(L66=0,P82="",L76=0),"",P82*L76)</f>
        <v>2.4000000000000004</v>
      </c>
      <c r="M83" s="1010">
        <f>IF(OR(M66=0,P82="",M76=0),"",P82*M76)</f>
        <v>3.6</v>
      </c>
      <c r="N83" s="1010" t="str">
        <f>IF(OR(N66=0,P82="",N76=0),"",P82*N76)</f>
        <v/>
      </c>
      <c r="O83" s="1010" t="str">
        <f>IF(OR(O66=0,P82="",O76=0),"",P82*O76)</f>
        <v/>
      </c>
      <c r="P83" s="1011">
        <f>IF(OR(P82="",P76=0),"",P82*P76)</f>
        <v>6</v>
      </c>
      <c r="S83" s="3916"/>
      <c r="T83" s="3917"/>
      <c r="U83" s="3917"/>
      <c r="V83" s="3917"/>
      <c r="W83" s="3918"/>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4000"/>
      <c r="E84" s="4000"/>
      <c r="F84" s="4000"/>
      <c r="G84" s="1005"/>
      <c r="H84" s="974" t="s">
        <v>1235</v>
      </c>
      <c r="I84" s="950"/>
      <c r="J84" s="43"/>
      <c r="K84" s="1012" t="str">
        <f t="shared" ref="K84:P84" si="656">IF(OR(K83="",K66=0),"", K66-K83)</f>
        <v/>
      </c>
      <c r="L84" s="1012">
        <f t="shared" si="656"/>
        <v>-0.40000000000000036</v>
      </c>
      <c r="M84" s="1012">
        <f t="shared" si="656"/>
        <v>0.39999999999999991</v>
      </c>
      <c r="N84" s="1012" t="str">
        <f t="shared" si="656"/>
        <v/>
      </c>
      <c r="O84" s="1012" t="str">
        <f t="shared" si="656"/>
        <v/>
      </c>
      <c r="P84" s="1012">
        <f t="shared" si="656"/>
        <v>0</v>
      </c>
      <c r="S84" s="3916"/>
      <c r="T84" s="3917"/>
      <c r="U84" s="3917"/>
      <c r="V84" s="3917"/>
      <c r="W84" s="3918"/>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1237</v>
      </c>
      <c r="D85" s="4000"/>
      <c r="E85" s="4000"/>
      <c r="F85" s="4000"/>
      <c r="G85" s="77"/>
      <c r="H85" s="48" t="s">
        <v>1222</v>
      </c>
      <c r="I85" s="13"/>
      <c r="J85" s="43"/>
      <c r="K85" s="969" t="str">
        <f t="shared" ref="K85:P85" si="657">IF(OR(K67=0,K76=0),"",K67/K76)</f>
        <v/>
      </c>
      <c r="L85" s="970">
        <f t="shared" si="657"/>
        <v>0.625</v>
      </c>
      <c r="M85" s="970">
        <f t="shared" si="657"/>
        <v>0.58333333333333337</v>
      </c>
      <c r="N85" s="970" t="str">
        <f t="shared" si="657"/>
        <v/>
      </c>
      <c r="O85" s="970" t="str">
        <f t="shared" si="657"/>
        <v/>
      </c>
      <c r="P85" s="971">
        <f t="shared" si="657"/>
        <v>0.6</v>
      </c>
      <c r="S85" s="3916"/>
      <c r="T85" s="3917"/>
      <c r="U85" s="3917"/>
      <c r="V85" s="3917"/>
      <c r="W85" s="3918"/>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4000"/>
      <c r="E86" s="4000"/>
      <c r="F86" s="4000"/>
      <c r="G86" s="77"/>
      <c r="H86" s="48" t="s">
        <v>1234</v>
      </c>
      <c r="I86" s="13"/>
      <c r="J86" s="43"/>
      <c r="K86" s="1010" t="str">
        <f>IF(OR(K67=0,P85="",K76=0),"",P85*K76)</f>
        <v/>
      </c>
      <c r="L86" s="1010">
        <f>IF(OR(L67=0,P85="",L76=0),"",P85*L76)</f>
        <v>14.399999999999999</v>
      </c>
      <c r="M86" s="1010">
        <f>IF(OR(M67=0,P85="",M76=0),"",P85*M76)</f>
        <v>21.599999999999998</v>
      </c>
      <c r="N86" s="1010" t="str">
        <f>IF(OR(N67=0,P85="",N76=0),"",P85*N76)</f>
        <v/>
      </c>
      <c r="O86" s="1010" t="str">
        <f>IF(OR(O67=0,P85="",O76=0),"",P85*O76)</f>
        <v/>
      </c>
      <c r="P86" s="1011">
        <f>IF(OR(P85="",P76=0),"",P85*P76)</f>
        <v>36</v>
      </c>
      <c r="S86" s="3913"/>
      <c r="T86" s="3914"/>
      <c r="U86" s="3914"/>
      <c r="V86" s="3914"/>
      <c r="W86" s="3915"/>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4000"/>
      <c r="E87" s="4000"/>
      <c r="F87" s="4000"/>
      <c r="G87" s="1005"/>
      <c r="H87" s="974" t="s">
        <v>1235</v>
      </c>
      <c r="I87" s="950"/>
      <c r="J87" s="43"/>
      <c r="K87" s="1012" t="str">
        <f t="shared" ref="K87:P87" si="658">IF(OR(K86="",K67=0),"", K67-K86)</f>
        <v/>
      </c>
      <c r="L87" s="1012">
        <f t="shared" si="658"/>
        <v>0.60000000000000142</v>
      </c>
      <c r="M87" s="1012">
        <f t="shared" si="658"/>
        <v>-0.59999999999999787</v>
      </c>
      <c r="N87" s="1012" t="str">
        <f t="shared" si="658"/>
        <v/>
      </c>
      <c r="O87" s="1012" t="str">
        <f t="shared" si="658"/>
        <v/>
      </c>
      <c r="P87" s="1012">
        <f t="shared" si="658"/>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1237</v>
      </c>
      <c r="D88" s="948"/>
      <c r="E88" s="948"/>
      <c r="F88" s="77"/>
      <c r="G88" s="77"/>
      <c r="H88" s="48" t="s">
        <v>1223</v>
      </c>
      <c r="I88" s="13"/>
      <c r="J88" s="43"/>
      <c r="K88" s="969" t="str">
        <f t="shared" ref="K88:P88" si="659">IF(OR(K68=0,K76=0),"",K68/K76)</f>
        <v/>
      </c>
      <c r="L88" s="970">
        <f t="shared" si="659"/>
        <v>0.29166666666666669</v>
      </c>
      <c r="M88" s="970">
        <f t="shared" si="659"/>
        <v>0.30555555555555558</v>
      </c>
      <c r="N88" s="970" t="str">
        <f t="shared" si="659"/>
        <v/>
      </c>
      <c r="O88" s="970" t="str">
        <f t="shared" si="659"/>
        <v/>
      </c>
      <c r="P88" s="971">
        <f t="shared" si="659"/>
        <v>0.3</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1234</v>
      </c>
      <c r="I89" s="13"/>
      <c r="J89" s="43"/>
      <c r="K89" s="1010" t="str">
        <f>IF(OR(K68=0,P88="",K76=0),"",P88*K76)</f>
        <v/>
      </c>
      <c r="L89" s="1010">
        <f>IF(OR(L68=0,P88="",L76=0),"",P88*L76)</f>
        <v>7.1999999999999993</v>
      </c>
      <c r="M89" s="1010">
        <f>IF(OR(M68=0,P88="",M76=0),"",P88*M76)</f>
        <v>10.799999999999999</v>
      </c>
      <c r="N89" s="1010" t="str">
        <f>IF(OR(N68=0,P88="",N76=0),"",P88*N76)</f>
        <v/>
      </c>
      <c r="O89" s="1010" t="str">
        <f>IF(OR(O68=0,P88="",O76=0),"",P88*O76)</f>
        <v/>
      </c>
      <c r="P89" s="1011">
        <f>IF(OR(P88="",P76=0),"",P88*P76)</f>
        <v>18</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1235</v>
      </c>
      <c r="I90" s="950"/>
      <c r="J90" s="43"/>
      <c r="K90" s="1012" t="str">
        <f t="shared" ref="K90:P90" si="660">IF(OR(K89="",K68=0),"", K68-K89)</f>
        <v/>
      </c>
      <c r="L90" s="1012">
        <f t="shared" si="660"/>
        <v>-0.19999999999999929</v>
      </c>
      <c r="M90" s="1012">
        <f t="shared" si="660"/>
        <v>0.20000000000000107</v>
      </c>
      <c r="N90" s="1012" t="str">
        <f t="shared" si="660"/>
        <v/>
      </c>
      <c r="O90" s="1012" t="str">
        <f t="shared" si="660"/>
        <v/>
      </c>
      <c r="P90" s="1012">
        <f t="shared" si="660"/>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1237</v>
      </c>
      <c r="D91" s="948"/>
      <c r="E91" s="948"/>
      <c r="F91" s="77"/>
      <c r="G91" s="77"/>
      <c r="H91" s="48" t="s">
        <v>1224</v>
      </c>
      <c r="I91" s="13"/>
      <c r="J91" s="43"/>
      <c r="K91" s="969" t="str">
        <f t="shared" ref="K91:P91" si="661">IF(OR(K69=0,K76=0),"",K69/K76)</f>
        <v/>
      </c>
      <c r="L91" s="970" t="str">
        <f t="shared" si="661"/>
        <v/>
      </c>
      <c r="M91" s="970" t="str">
        <f t="shared" si="661"/>
        <v/>
      </c>
      <c r="N91" s="970" t="str">
        <f t="shared" si="661"/>
        <v/>
      </c>
      <c r="O91" s="970" t="str">
        <f t="shared" si="661"/>
        <v/>
      </c>
      <c r="P91" s="971" t="str">
        <f t="shared" si="661"/>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1234</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1235</v>
      </c>
      <c r="I93" s="950"/>
      <c r="J93" s="43"/>
      <c r="K93" s="1012" t="str">
        <f t="shared" ref="K93:P93" si="662">IF(OR(K92="",K69=0),"", K69-K92)</f>
        <v/>
      </c>
      <c r="L93" s="1012" t="str">
        <f t="shared" si="662"/>
        <v/>
      </c>
      <c r="M93" s="1012" t="str">
        <f t="shared" si="662"/>
        <v/>
      </c>
      <c r="N93" s="1012" t="str">
        <f t="shared" si="662"/>
        <v/>
      </c>
      <c r="O93" s="1012" t="str">
        <f t="shared" si="662"/>
        <v/>
      </c>
      <c r="P93" s="1012" t="str">
        <f t="shared" si="662"/>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1237</v>
      </c>
      <c r="D94" s="77"/>
      <c r="E94" s="77"/>
      <c r="F94" s="77"/>
      <c r="G94" s="77"/>
      <c r="H94" s="48" t="s">
        <v>1225</v>
      </c>
      <c r="I94" s="13"/>
      <c r="J94" s="43"/>
      <c r="K94" s="969" t="str">
        <f t="shared" ref="K94:P94" si="663">IF(OR(K70=0,K76=0),"",K70/K76)</f>
        <v/>
      </c>
      <c r="L94" s="970" t="str">
        <f t="shared" si="663"/>
        <v/>
      </c>
      <c r="M94" s="970" t="str">
        <f t="shared" si="663"/>
        <v/>
      </c>
      <c r="N94" s="970" t="str">
        <f t="shared" si="663"/>
        <v/>
      </c>
      <c r="O94" s="970" t="str">
        <f t="shared" si="663"/>
        <v/>
      </c>
      <c r="P94" s="971" t="str">
        <f t="shared" si="663"/>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1234</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1235</v>
      </c>
      <c r="I96" s="950"/>
      <c r="J96" s="43"/>
      <c r="K96" s="1012" t="str">
        <f t="shared" ref="K96:P96" si="664">IF(OR(K95="",K70=0),"", K70-K95)</f>
        <v/>
      </c>
      <c r="L96" s="1012" t="str">
        <f t="shared" si="664"/>
        <v/>
      </c>
      <c r="M96" s="1012" t="str">
        <f t="shared" si="664"/>
        <v/>
      </c>
      <c r="N96" s="1012" t="str">
        <f t="shared" si="664"/>
        <v/>
      </c>
      <c r="O96" s="1012" t="str">
        <f t="shared" si="664"/>
        <v/>
      </c>
      <c r="P96" s="1012" t="str">
        <f t="shared" si="664"/>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1237</v>
      </c>
      <c r="D97" s="77"/>
      <c r="E97" s="77"/>
      <c r="F97" s="77"/>
      <c r="G97" s="77"/>
      <c r="H97" s="48" t="s">
        <v>1226</v>
      </c>
      <c r="I97" s="13"/>
      <c r="J97" s="43"/>
      <c r="K97" s="969" t="str">
        <f t="shared" ref="K97:P97" si="665">IF(OR(K71=0,K76=0),"",K71/K76)</f>
        <v/>
      </c>
      <c r="L97" s="970" t="str">
        <f t="shared" si="665"/>
        <v/>
      </c>
      <c r="M97" s="970" t="str">
        <f t="shared" si="665"/>
        <v/>
      </c>
      <c r="N97" s="970" t="str">
        <f t="shared" si="665"/>
        <v/>
      </c>
      <c r="O97" s="970" t="str">
        <f t="shared" si="665"/>
        <v/>
      </c>
      <c r="P97" s="971" t="str">
        <f t="shared" si="665"/>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1234</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1235</v>
      </c>
      <c r="I99" s="950"/>
      <c r="J99" s="43"/>
      <c r="K99" s="1015" t="str">
        <f t="shared" ref="K99:P99" si="666">IF(OR(K98="",K71=0),"", K71-K98)</f>
        <v/>
      </c>
      <c r="L99" s="1015" t="str">
        <f t="shared" si="666"/>
        <v/>
      </c>
      <c r="M99" s="1015" t="str">
        <f t="shared" si="666"/>
        <v/>
      </c>
      <c r="N99" s="1015" t="str">
        <f t="shared" si="666"/>
        <v/>
      </c>
      <c r="O99" s="1015" t="str">
        <f t="shared" si="666"/>
        <v/>
      </c>
      <c r="P99" s="1015" t="str">
        <f t="shared" si="666"/>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1238</v>
      </c>
      <c r="D102" s="43"/>
      <c r="E102" s="48"/>
      <c r="F102" s="43"/>
      <c r="G102" s="35"/>
      <c r="H102" s="48" t="s">
        <v>1219</v>
      </c>
      <c r="I102" s="13"/>
      <c r="J102" s="35"/>
      <c r="K102" s="2728">
        <f>CP58</f>
        <v>0</v>
      </c>
      <c r="L102" s="2729">
        <f>CQ58</f>
        <v>0</v>
      </c>
      <c r="M102" s="2729">
        <f>CR58</f>
        <v>0</v>
      </c>
      <c r="N102" s="2729">
        <f>CS58</f>
        <v>0</v>
      </c>
      <c r="O102" s="2730">
        <f>CT58</f>
        <v>0</v>
      </c>
      <c r="P102" s="2721">
        <f t="shared" ref="P102:P109" si="667">SUM(K102:O102)</f>
        <v>0</v>
      </c>
      <c r="S102" s="3920"/>
      <c r="T102" s="3921"/>
      <c r="U102" s="3921"/>
      <c r="V102" s="3921"/>
      <c r="W102" s="3922"/>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1239</v>
      </c>
      <c r="D103" s="43"/>
      <c r="E103" s="48"/>
      <c r="F103" s="43"/>
      <c r="G103" s="35"/>
      <c r="H103" s="48" t="s">
        <v>1221</v>
      </c>
      <c r="I103" s="13"/>
      <c r="J103" s="35"/>
      <c r="K103" s="787">
        <f>CK58</f>
        <v>0</v>
      </c>
      <c r="L103" s="788">
        <f>CL58</f>
        <v>0</v>
      </c>
      <c r="M103" s="788">
        <f>CM58</f>
        <v>0</v>
      </c>
      <c r="N103" s="788">
        <f>CN58</f>
        <v>0</v>
      </c>
      <c r="O103" s="789">
        <f>CO58</f>
        <v>0</v>
      </c>
      <c r="P103" s="762">
        <f t="shared" si="667"/>
        <v>0</v>
      </c>
      <c r="S103" s="3916"/>
      <c r="T103" s="3917"/>
      <c r="U103" s="3917"/>
      <c r="V103" s="3917"/>
      <c r="W103" s="3918"/>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45" customHeight="1">
      <c r="A104" s="786"/>
      <c r="B104" s="786"/>
      <c r="C104" s="43"/>
      <c r="D104" s="43"/>
      <c r="E104" s="48"/>
      <c r="F104" s="43"/>
      <c r="G104" s="35"/>
      <c r="H104" s="48" t="s">
        <v>1222</v>
      </c>
      <c r="I104" s="13"/>
      <c r="J104" s="35"/>
      <c r="K104" s="787">
        <f>CF58</f>
        <v>0</v>
      </c>
      <c r="L104" s="788">
        <f>CG58</f>
        <v>0</v>
      </c>
      <c r="M104" s="788">
        <f>CH58</f>
        <v>0</v>
      </c>
      <c r="N104" s="788">
        <f>CI58</f>
        <v>0</v>
      </c>
      <c r="O104" s="789">
        <f>CJ58</f>
        <v>0</v>
      </c>
      <c r="P104" s="762">
        <f t="shared" si="667"/>
        <v>0</v>
      </c>
      <c r="S104" s="3916"/>
      <c r="T104" s="3917"/>
      <c r="U104" s="3917"/>
      <c r="V104" s="3917"/>
      <c r="W104" s="3918"/>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1223</v>
      </c>
      <c r="I105" s="13"/>
      <c r="J105" s="655"/>
      <c r="K105" s="793">
        <f>CA58</f>
        <v>0</v>
      </c>
      <c r="L105" s="794">
        <f>CB58</f>
        <v>0</v>
      </c>
      <c r="M105" s="794">
        <f>CC58</f>
        <v>0</v>
      </c>
      <c r="N105" s="794">
        <f>CD58</f>
        <v>0</v>
      </c>
      <c r="O105" s="795">
        <f>CE58</f>
        <v>0</v>
      </c>
      <c r="P105" s="332">
        <f t="shared" si="667"/>
        <v>0</v>
      </c>
      <c r="S105" s="3916"/>
      <c r="T105" s="3917"/>
      <c r="U105" s="3917"/>
      <c r="V105" s="3917"/>
      <c r="W105" s="3918"/>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1224</v>
      </c>
      <c r="I106" s="13"/>
      <c r="J106" s="655"/>
      <c r="K106" s="787">
        <f>BV58</f>
        <v>0</v>
      </c>
      <c r="L106" s="788">
        <f>BW58</f>
        <v>0</v>
      </c>
      <c r="M106" s="788">
        <f>BX58</f>
        <v>0</v>
      </c>
      <c r="N106" s="788">
        <f>BY58</f>
        <v>0</v>
      </c>
      <c r="O106" s="789">
        <f>BZ58</f>
        <v>0</v>
      </c>
      <c r="P106" s="762">
        <f t="shared" si="667"/>
        <v>0</v>
      </c>
      <c r="S106" s="3916"/>
      <c r="T106" s="3917"/>
      <c r="U106" s="3917"/>
      <c r="V106" s="3917"/>
      <c r="W106" s="3918"/>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1225</v>
      </c>
      <c r="I107" s="13"/>
      <c r="J107" s="35"/>
      <c r="K107" s="787">
        <f>BQ58</f>
        <v>0</v>
      </c>
      <c r="L107" s="788">
        <f>BR58</f>
        <v>0</v>
      </c>
      <c r="M107" s="788">
        <f>BS58</f>
        <v>0</v>
      </c>
      <c r="N107" s="788">
        <f>BT58</f>
        <v>0</v>
      </c>
      <c r="O107" s="789">
        <f>BU58</f>
        <v>0</v>
      </c>
      <c r="P107" s="762">
        <f t="shared" si="667"/>
        <v>0</v>
      </c>
      <c r="S107" s="3916"/>
      <c r="T107" s="3917"/>
      <c r="U107" s="3917"/>
      <c r="V107" s="3917"/>
      <c r="W107" s="3918"/>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1226</v>
      </c>
      <c r="I108" s="13"/>
      <c r="J108" s="35"/>
      <c r="K108" s="790">
        <f>BL58</f>
        <v>0</v>
      </c>
      <c r="L108" s="791">
        <f>BM58</f>
        <v>0</v>
      </c>
      <c r="M108" s="791">
        <f>BN58</f>
        <v>0</v>
      </c>
      <c r="N108" s="791">
        <f>BO58</f>
        <v>0</v>
      </c>
      <c r="O108" s="792">
        <f>BP58</f>
        <v>0</v>
      </c>
      <c r="P108" s="546">
        <f t="shared" si="667"/>
        <v>0</v>
      </c>
      <c r="S108" s="3916"/>
      <c r="T108" s="3917"/>
      <c r="U108" s="3917"/>
      <c r="V108" s="3917"/>
      <c r="W108" s="3918"/>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287</v>
      </c>
      <c r="I109" s="38"/>
      <c r="J109" s="35"/>
      <c r="K109" s="2724">
        <f>SUM(K102:K108)</f>
        <v>0</v>
      </c>
      <c r="L109" s="2724">
        <f>SUM(L102:L108)</f>
        <v>0</v>
      </c>
      <c r="M109" s="2724">
        <f>SUM(M102:M108)</f>
        <v>0</v>
      </c>
      <c r="N109" s="2724">
        <f>SUM(N102:N108)</f>
        <v>0</v>
      </c>
      <c r="O109" s="2724">
        <f>SUM(O102:O108)</f>
        <v>0</v>
      </c>
      <c r="P109" s="2724">
        <f t="shared" si="667"/>
        <v>0</v>
      </c>
      <c r="S109" s="3913"/>
      <c r="T109" s="3914"/>
      <c r="U109" s="3914"/>
      <c r="V109" s="3914"/>
      <c r="W109" s="3915"/>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85" customHeight="1" thickBot="1">
      <c r="A111" s="6" t="s">
        <v>25</v>
      </c>
      <c r="B111" s="6" t="s">
        <v>1240</v>
      </c>
      <c r="C111" s="77"/>
      <c r="D111" s="77"/>
      <c r="E111" s="77"/>
      <c r="F111" s="77"/>
      <c r="G111" s="77"/>
      <c r="H111" s="40"/>
      <c r="I111" s="77"/>
      <c r="J111" s="77"/>
      <c r="K111" s="77"/>
      <c r="L111" s="3935" t="str">
        <f>O62</f>
        <v>Income Averaging</v>
      </c>
      <c r="M111" s="3936"/>
      <c r="N111" s="3936"/>
      <c r="O111" s="3937"/>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1241</v>
      </c>
      <c r="D113" s="229"/>
      <c r="E113" s="229"/>
      <c r="F113" s="43"/>
      <c r="G113" s="35"/>
      <c r="H113" s="48" t="s">
        <v>1219</v>
      </c>
      <c r="I113" s="13"/>
      <c r="J113" s="35"/>
      <c r="K113" s="2728">
        <f>DY58</f>
        <v>0</v>
      </c>
      <c r="L113" s="2729">
        <f>DZ58</f>
        <v>0</v>
      </c>
      <c r="M113" s="2729">
        <f>EA58</f>
        <v>0</v>
      </c>
      <c r="N113" s="2729">
        <f>EB58</f>
        <v>0</v>
      </c>
      <c r="O113" s="2730">
        <f>EC58</f>
        <v>0</v>
      </c>
      <c r="P113" s="2721">
        <f t="shared" ref="P113:P120" si="668">SUM(K113:O113)</f>
        <v>0</v>
      </c>
      <c r="S113" s="3920"/>
      <c r="T113" s="3921"/>
      <c r="U113" s="3921"/>
      <c r="V113" s="3921"/>
      <c r="W113" s="3922"/>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1239</v>
      </c>
      <c r="D114" s="229"/>
      <c r="E114" s="229"/>
      <c r="F114" s="43"/>
      <c r="G114" s="35"/>
      <c r="H114" s="48" t="s">
        <v>1221</v>
      </c>
      <c r="I114" s="13"/>
      <c r="J114" s="35"/>
      <c r="K114" s="787">
        <f>DT58</f>
        <v>0</v>
      </c>
      <c r="L114" s="788">
        <f>DU58</f>
        <v>0</v>
      </c>
      <c r="M114" s="788">
        <f>DV58</f>
        <v>0</v>
      </c>
      <c r="N114" s="788">
        <f>DW58</f>
        <v>0</v>
      </c>
      <c r="O114" s="789">
        <f>DX58</f>
        <v>0</v>
      </c>
      <c r="P114" s="762">
        <f t="shared" si="668"/>
        <v>0</v>
      </c>
      <c r="S114" s="3916"/>
      <c r="T114" s="3917"/>
      <c r="U114" s="3917"/>
      <c r="V114" s="3917"/>
      <c r="W114" s="3918"/>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1222</v>
      </c>
      <c r="I115" s="13"/>
      <c r="J115" s="35"/>
      <c r="K115" s="787">
        <f>DO58</f>
        <v>0</v>
      </c>
      <c r="L115" s="788">
        <f>DP58</f>
        <v>0</v>
      </c>
      <c r="M115" s="788">
        <f>DQ58</f>
        <v>0</v>
      </c>
      <c r="N115" s="788">
        <f>DR58</f>
        <v>0</v>
      </c>
      <c r="O115" s="789">
        <f>DS58</f>
        <v>0</v>
      </c>
      <c r="P115" s="762">
        <f t="shared" si="668"/>
        <v>0</v>
      </c>
      <c r="S115" s="3916"/>
      <c r="T115" s="3917"/>
      <c r="U115" s="3917"/>
      <c r="V115" s="3917"/>
      <c r="W115" s="3918"/>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1223</v>
      </c>
      <c r="I116" s="13"/>
      <c r="J116" s="655"/>
      <c r="K116" s="793">
        <f>DJ58</f>
        <v>0</v>
      </c>
      <c r="L116" s="794">
        <f>DK58</f>
        <v>0</v>
      </c>
      <c r="M116" s="794">
        <f>DL58</f>
        <v>0</v>
      </c>
      <c r="N116" s="794">
        <f>DM58</f>
        <v>0</v>
      </c>
      <c r="O116" s="795">
        <f>DN58</f>
        <v>0</v>
      </c>
      <c r="P116" s="332">
        <f t="shared" si="668"/>
        <v>0</v>
      </c>
      <c r="S116" s="3916"/>
      <c r="T116" s="3917"/>
      <c r="U116" s="3917"/>
      <c r="V116" s="3917"/>
      <c r="W116" s="3918"/>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1224</v>
      </c>
      <c r="I117" s="13"/>
      <c r="J117" s="655"/>
      <c r="K117" s="787">
        <f>DE58</f>
        <v>0</v>
      </c>
      <c r="L117" s="788">
        <f>DF58</f>
        <v>0</v>
      </c>
      <c r="M117" s="788">
        <f>DG58</f>
        <v>0</v>
      </c>
      <c r="N117" s="788">
        <f>DH58</f>
        <v>0</v>
      </c>
      <c r="O117" s="789">
        <f>DI58</f>
        <v>0</v>
      </c>
      <c r="P117" s="762">
        <f t="shared" si="668"/>
        <v>0</v>
      </c>
      <c r="S117" s="3916"/>
      <c r="T117" s="3917"/>
      <c r="U117" s="3917"/>
      <c r="V117" s="3917"/>
      <c r="W117" s="3918"/>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1225</v>
      </c>
      <c r="I118" s="13"/>
      <c r="J118" s="35"/>
      <c r="K118" s="787">
        <f>CZ58</f>
        <v>0</v>
      </c>
      <c r="L118" s="788">
        <f>DA58</f>
        <v>0</v>
      </c>
      <c r="M118" s="788">
        <f>DB58</f>
        <v>0</v>
      </c>
      <c r="N118" s="788">
        <f>DC58</f>
        <v>0</v>
      </c>
      <c r="O118" s="789">
        <f>DD58</f>
        <v>0</v>
      </c>
      <c r="P118" s="762">
        <f t="shared" si="668"/>
        <v>0</v>
      </c>
      <c r="S118" s="3916"/>
      <c r="T118" s="3917"/>
      <c r="U118" s="3917"/>
      <c r="V118" s="3917"/>
      <c r="W118" s="3918"/>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1226</v>
      </c>
      <c r="I119" s="13"/>
      <c r="J119" s="35"/>
      <c r="K119" s="790">
        <f>CU58</f>
        <v>0</v>
      </c>
      <c r="L119" s="791">
        <f>CV58</f>
        <v>0</v>
      </c>
      <c r="M119" s="791">
        <f>CW58</f>
        <v>0</v>
      </c>
      <c r="N119" s="791">
        <f>CX58</f>
        <v>0</v>
      </c>
      <c r="O119" s="792">
        <f>CY58</f>
        <v>0</v>
      </c>
      <c r="P119" s="546">
        <f t="shared" si="668"/>
        <v>0</v>
      </c>
      <c r="S119" s="3916"/>
      <c r="T119" s="3917"/>
      <c r="U119" s="3917"/>
      <c r="V119" s="3917"/>
      <c r="W119" s="3918"/>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287</v>
      </c>
      <c r="I120" s="38"/>
      <c r="J120" s="35"/>
      <c r="K120" s="2724">
        <f>SUM(K113:K119)</f>
        <v>0</v>
      </c>
      <c r="L120" s="2724">
        <f>SUM(L113:L119)</f>
        <v>0</v>
      </c>
      <c r="M120" s="2724">
        <f>SUM(M113:M119)</f>
        <v>0</v>
      </c>
      <c r="N120" s="2724">
        <f>SUM(N113:N119)</f>
        <v>0</v>
      </c>
      <c r="O120" s="2724">
        <f>SUM(O113:O119)</f>
        <v>0</v>
      </c>
      <c r="P120" s="2724">
        <f t="shared" si="668"/>
        <v>0</v>
      </c>
      <c r="S120" s="3913"/>
      <c r="T120" s="3914"/>
      <c r="U120" s="3914"/>
      <c r="V120" s="3914"/>
      <c r="W120" s="3915"/>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1242</v>
      </c>
      <c r="D122" s="229"/>
      <c r="E122" s="229"/>
      <c r="F122" s="43"/>
      <c r="G122" s="35"/>
      <c r="H122" s="48" t="s">
        <v>1219</v>
      </c>
      <c r="I122" s="13"/>
      <c r="J122" s="35"/>
      <c r="K122" s="2728">
        <f>ED58</f>
        <v>0</v>
      </c>
      <c r="L122" s="2729">
        <f t="shared" ref="L122:O122" si="669">EE58</f>
        <v>0</v>
      </c>
      <c r="M122" s="2729">
        <f t="shared" si="669"/>
        <v>0</v>
      </c>
      <c r="N122" s="2729">
        <f t="shared" si="669"/>
        <v>0</v>
      </c>
      <c r="O122" s="2730">
        <f t="shared" si="669"/>
        <v>0</v>
      </c>
      <c r="P122" s="2721">
        <f t="shared" ref="P122:P129" si="670">SUM(K122:O122)</f>
        <v>0</v>
      </c>
      <c r="S122" s="3920"/>
      <c r="T122" s="3921"/>
      <c r="U122" s="3921"/>
      <c r="V122" s="3921"/>
      <c r="W122" s="3922"/>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1239</v>
      </c>
      <c r="D123" s="229"/>
      <c r="E123" s="229"/>
      <c r="F123" s="43"/>
      <c r="G123" s="35"/>
      <c r="H123" s="48" t="s">
        <v>1221</v>
      </c>
      <c r="I123" s="13"/>
      <c r="J123" s="35"/>
      <c r="K123" s="787">
        <f>EI58</f>
        <v>0</v>
      </c>
      <c r="L123" s="788">
        <f t="shared" ref="L123:O123" si="671">EJ58</f>
        <v>0</v>
      </c>
      <c r="M123" s="788">
        <f t="shared" si="671"/>
        <v>0</v>
      </c>
      <c r="N123" s="788">
        <f t="shared" si="671"/>
        <v>0</v>
      </c>
      <c r="O123" s="789">
        <f t="shared" si="671"/>
        <v>0</v>
      </c>
      <c r="P123" s="762">
        <f t="shared" si="670"/>
        <v>0</v>
      </c>
      <c r="S123" s="3916"/>
      <c r="T123" s="3917"/>
      <c r="U123" s="3917"/>
      <c r="V123" s="3917"/>
      <c r="W123" s="3918"/>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1222</v>
      </c>
      <c r="I124" s="13"/>
      <c r="J124" s="35"/>
      <c r="K124" s="787">
        <f>EN58</f>
        <v>0</v>
      </c>
      <c r="L124" s="788">
        <f t="shared" ref="L124:O124" si="672">EO58</f>
        <v>0</v>
      </c>
      <c r="M124" s="788">
        <f t="shared" si="672"/>
        <v>0</v>
      </c>
      <c r="N124" s="788">
        <f t="shared" si="672"/>
        <v>0</v>
      </c>
      <c r="O124" s="789">
        <f t="shared" si="672"/>
        <v>0</v>
      </c>
      <c r="P124" s="762">
        <f t="shared" si="670"/>
        <v>0</v>
      </c>
      <c r="S124" s="3916"/>
      <c r="T124" s="3917"/>
      <c r="U124" s="3917"/>
      <c r="V124" s="3917"/>
      <c r="W124" s="3918"/>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1223</v>
      </c>
      <c r="I125" s="13"/>
      <c r="J125" s="655"/>
      <c r="K125" s="793">
        <f>ES58</f>
        <v>0</v>
      </c>
      <c r="L125" s="794">
        <f t="shared" ref="L125:O125" si="673">ET58</f>
        <v>0</v>
      </c>
      <c r="M125" s="794">
        <f t="shared" si="673"/>
        <v>0</v>
      </c>
      <c r="N125" s="794">
        <f t="shared" si="673"/>
        <v>0</v>
      </c>
      <c r="O125" s="795">
        <f t="shared" si="673"/>
        <v>0</v>
      </c>
      <c r="P125" s="332">
        <f t="shared" si="670"/>
        <v>0</v>
      </c>
      <c r="S125" s="3916"/>
      <c r="T125" s="3917"/>
      <c r="U125" s="3917"/>
      <c r="V125" s="3917"/>
      <c r="W125" s="3918"/>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1224</v>
      </c>
      <c r="I126" s="13"/>
      <c r="J126" s="655"/>
      <c r="K126" s="787">
        <f>EX58</f>
        <v>0</v>
      </c>
      <c r="L126" s="788">
        <f t="shared" ref="L126:O126" si="674">EY58</f>
        <v>0</v>
      </c>
      <c r="M126" s="788">
        <f t="shared" si="674"/>
        <v>0</v>
      </c>
      <c r="N126" s="788">
        <f t="shared" si="674"/>
        <v>0</v>
      </c>
      <c r="O126" s="789">
        <f t="shared" si="674"/>
        <v>0</v>
      </c>
      <c r="P126" s="762">
        <f t="shared" si="670"/>
        <v>0</v>
      </c>
      <c r="S126" s="3916"/>
      <c r="T126" s="3917"/>
      <c r="U126" s="3917"/>
      <c r="V126" s="3917"/>
      <c r="W126" s="3918"/>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1225</v>
      </c>
      <c r="I127" s="13"/>
      <c r="J127" s="35"/>
      <c r="K127" s="787">
        <f>FC58</f>
        <v>0</v>
      </c>
      <c r="L127" s="788">
        <f t="shared" ref="L127:O127" si="675">FD58</f>
        <v>0</v>
      </c>
      <c r="M127" s="788">
        <f t="shared" si="675"/>
        <v>0</v>
      </c>
      <c r="N127" s="788">
        <f t="shared" si="675"/>
        <v>0</v>
      </c>
      <c r="O127" s="789">
        <f t="shared" si="675"/>
        <v>0</v>
      </c>
      <c r="P127" s="762">
        <f t="shared" si="670"/>
        <v>0</v>
      </c>
      <c r="S127" s="3916"/>
      <c r="T127" s="3917"/>
      <c r="U127" s="3917"/>
      <c r="V127" s="3917"/>
      <c r="W127" s="3918"/>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1226</v>
      </c>
      <c r="I128" s="13"/>
      <c r="J128" s="35"/>
      <c r="K128" s="790">
        <f>FH58</f>
        <v>0</v>
      </c>
      <c r="L128" s="791">
        <f t="shared" ref="L128:O128" si="676">FI58</f>
        <v>0</v>
      </c>
      <c r="M128" s="791">
        <f t="shared" si="676"/>
        <v>0</v>
      </c>
      <c r="N128" s="791">
        <f t="shared" si="676"/>
        <v>0</v>
      </c>
      <c r="O128" s="792">
        <f t="shared" si="676"/>
        <v>0</v>
      </c>
      <c r="P128" s="546">
        <f t="shared" si="670"/>
        <v>0</v>
      </c>
      <c r="S128" s="3916"/>
      <c r="T128" s="3917"/>
      <c r="U128" s="3917"/>
      <c r="V128" s="3917"/>
      <c r="W128" s="3918"/>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287</v>
      </c>
      <c r="I129" s="38"/>
      <c r="J129" s="35"/>
      <c r="K129" s="2724">
        <f>SUM(K122:K128)</f>
        <v>0</v>
      </c>
      <c r="L129" s="2724">
        <f>SUM(L122:L128)</f>
        <v>0</v>
      </c>
      <c r="M129" s="2724">
        <f>SUM(M122:M128)</f>
        <v>0</v>
      </c>
      <c r="N129" s="2724">
        <f>SUM(N122:N128)</f>
        <v>0</v>
      </c>
      <c r="O129" s="2724">
        <f>SUM(O122:O128)</f>
        <v>0</v>
      </c>
      <c r="P129" s="2724">
        <f t="shared" si="670"/>
        <v>0</v>
      </c>
      <c r="S129" s="3913"/>
      <c r="T129" s="3914"/>
      <c r="U129" s="3914"/>
      <c r="V129" s="3914"/>
      <c r="W129" s="3915"/>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2.95" customHeight="1">
      <c r="A131" s="785"/>
      <c r="B131" s="785"/>
      <c r="C131" s="3924" t="s">
        <v>1243</v>
      </c>
      <c r="D131" s="3924"/>
      <c r="E131" s="48" t="s">
        <v>1244</v>
      </c>
      <c r="F131" s="43"/>
      <c r="G131" s="35"/>
      <c r="H131" s="48" t="s">
        <v>1245</v>
      </c>
      <c r="I131" s="13"/>
      <c r="J131" s="35"/>
      <c r="K131" s="2718">
        <f>HP58</f>
        <v>0</v>
      </c>
      <c r="L131" s="2719">
        <f>HQ58</f>
        <v>24</v>
      </c>
      <c r="M131" s="2719">
        <f>HR58</f>
        <v>36</v>
      </c>
      <c r="N131" s="2719">
        <f>HS58</f>
        <v>0</v>
      </c>
      <c r="O131" s="2720">
        <f>HT58</f>
        <v>0</v>
      </c>
      <c r="P131" s="2721">
        <f t="shared" ref="P131:P141" si="677">SUM(K131:O131)</f>
        <v>60</v>
      </c>
      <c r="S131" s="3920"/>
      <c r="T131" s="3921"/>
      <c r="U131" s="3921"/>
      <c r="V131" s="3921"/>
      <c r="W131" s="3922"/>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2.95" customHeight="1">
      <c r="A132" s="785"/>
      <c r="B132" s="785"/>
      <c r="C132" s="3924"/>
      <c r="D132" s="3924"/>
      <c r="E132" s="48"/>
      <c r="F132" s="43"/>
      <c r="G132" s="35"/>
      <c r="H132" s="48" t="s">
        <v>1159</v>
      </c>
      <c r="I132" s="13"/>
      <c r="J132" s="35"/>
      <c r="K132" s="2358">
        <f>HU58</f>
        <v>0</v>
      </c>
      <c r="L132" s="2359">
        <f>HV58</f>
        <v>0</v>
      </c>
      <c r="M132" s="2359">
        <f>HW58</f>
        <v>0</v>
      </c>
      <c r="N132" s="2359">
        <f>HX58</f>
        <v>0</v>
      </c>
      <c r="O132" s="2360">
        <f>HY58</f>
        <v>0</v>
      </c>
      <c r="P132" s="546">
        <f t="shared" si="677"/>
        <v>0</v>
      </c>
      <c r="S132" s="3916"/>
      <c r="T132" s="3917"/>
      <c r="U132" s="3917"/>
      <c r="V132" s="3917"/>
      <c r="W132" s="3918"/>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924"/>
      <c r="D133" s="3924"/>
      <c r="E133" s="48"/>
      <c r="F133" s="43"/>
      <c r="G133" s="35"/>
      <c r="H133" s="92" t="s">
        <v>1246</v>
      </c>
      <c r="I133" s="482" t="s">
        <v>1247</v>
      </c>
      <c r="J133" s="1509">
        <f>IF(P76=0,0,P133/P76)</f>
        <v>1</v>
      </c>
      <c r="K133" s="2731">
        <f>SUM(K131:K132)+HZ58</f>
        <v>0</v>
      </c>
      <c r="L133" s="2731">
        <f>SUM(L131:L132)+IA58</f>
        <v>24</v>
      </c>
      <c r="M133" s="2731">
        <f>SUM(M131:M132)+IB58</f>
        <v>36</v>
      </c>
      <c r="N133" s="2731">
        <f>SUM(N131:N132)+IC58</f>
        <v>0</v>
      </c>
      <c r="O133" s="2731">
        <f>SUM(O131:O132)+ID58</f>
        <v>0</v>
      </c>
      <c r="P133" s="2731">
        <f t="shared" si="677"/>
        <v>60</v>
      </c>
      <c r="S133" s="3916"/>
      <c r="T133" s="3917"/>
      <c r="U133" s="3917"/>
      <c r="V133" s="3917"/>
      <c r="W133" s="3918"/>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2.95" customHeight="1">
      <c r="A134" s="785"/>
      <c r="B134" s="785"/>
      <c r="C134" s="3924"/>
      <c r="D134" s="3924"/>
      <c r="E134" s="48" t="s">
        <v>1248</v>
      </c>
      <c r="F134" s="43"/>
      <c r="G134" s="35"/>
      <c r="H134" s="48" t="s">
        <v>1245</v>
      </c>
      <c r="I134" s="13"/>
      <c r="J134" s="35"/>
      <c r="K134" s="2718">
        <f>IE58</f>
        <v>0</v>
      </c>
      <c r="L134" s="2719">
        <f>IF58</f>
        <v>0</v>
      </c>
      <c r="M134" s="2719">
        <f>IG58</f>
        <v>0</v>
      </c>
      <c r="N134" s="2719">
        <f>IH58</f>
        <v>0</v>
      </c>
      <c r="O134" s="2720">
        <f>II58</f>
        <v>0</v>
      </c>
      <c r="P134" s="2721">
        <f t="shared" si="677"/>
        <v>0</v>
      </c>
      <c r="S134" s="3916"/>
      <c r="T134" s="3917"/>
      <c r="U134" s="3917"/>
      <c r="V134" s="3917"/>
      <c r="W134" s="3918"/>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2.95" customHeight="1">
      <c r="A135" s="785"/>
      <c r="B135" s="785"/>
      <c r="C135" s="3924"/>
      <c r="D135" s="3924"/>
      <c r="E135" s="48"/>
      <c r="F135" s="43"/>
      <c r="G135" s="35"/>
      <c r="H135" s="48" t="s">
        <v>1159</v>
      </c>
      <c r="I135" s="13"/>
      <c r="J135" s="35"/>
      <c r="K135" s="2358">
        <f>IJ58</f>
        <v>0</v>
      </c>
      <c r="L135" s="2359">
        <f>IK58</f>
        <v>0</v>
      </c>
      <c r="M135" s="2359">
        <f>IL58</f>
        <v>0</v>
      </c>
      <c r="N135" s="2359">
        <f>IM58</f>
        <v>0</v>
      </c>
      <c r="O135" s="2360">
        <f>IN58</f>
        <v>0</v>
      </c>
      <c r="P135" s="546">
        <f t="shared" si="677"/>
        <v>0</v>
      </c>
      <c r="S135" s="3916"/>
      <c r="T135" s="3917"/>
      <c r="U135" s="3917"/>
      <c r="V135" s="3917"/>
      <c r="W135" s="3918"/>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924"/>
      <c r="D136" s="3924"/>
      <c r="E136" s="48"/>
      <c r="F136" s="43"/>
      <c r="G136" s="35"/>
      <c r="H136" s="92" t="s">
        <v>1246</v>
      </c>
      <c r="I136" s="482" t="s">
        <v>1247</v>
      </c>
      <c r="J136" s="1509">
        <f>IF(P76=0,0,P136/P76)</f>
        <v>0</v>
      </c>
      <c r="K136" s="2731">
        <f>SUM(K134:K135)+IO58</f>
        <v>0</v>
      </c>
      <c r="L136" s="2731">
        <f>SUM(L134:L135)+IP58</f>
        <v>0</v>
      </c>
      <c r="M136" s="2731">
        <f>SUM(M134:M135)+IQ58</f>
        <v>0</v>
      </c>
      <c r="N136" s="2731">
        <f>SUM(N134:N135)+IR58</f>
        <v>0</v>
      </c>
      <c r="O136" s="2731">
        <f>SUM(O134:O135)+IS58</f>
        <v>0</v>
      </c>
      <c r="P136" s="2731">
        <f t="shared" si="677"/>
        <v>0</v>
      </c>
      <c r="S136" s="3916"/>
      <c r="T136" s="3917"/>
      <c r="U136" s="3917"/>
      <c r="V136" s="3917"/>
      <c r="W136" s="3918"/>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2.95" customHeight="1">
      <c r="A137" s="785"/>
      <c r="B137" s="785"/>
      <c r="C137" s="508"/>
      <c r="D137" s="43"/>
      <c r="E137" s="3992" t="s">
        <v>1249</v>
      </c>
      <c r="F137" s="3992"/>
      <c r="G137" s="35"/>
      <c r="H137" s="48" t="s">
        <v>1245</v>
      </c>
      <c r="I137" s="13"/>
      <c r="J137" s="35"/>
      <c r="K137" s="2718">
        <f>IT58</f>
        <v>0</v>
      </c>
      <c r="L137" s="2719">
        <f>IU58</f>
        <v>0</v>
      </c>
      <c r="M137" s="2719">
        <f>IV58</f>
        <v>0</v>
      </c>
      <c r="N137" s="2719">
        <f>IW58</f>
        <v>0</v>
      </c>
      <c r="O137" s="2720">
        <f>IX58</f>
        <v>0</v>
      </c>
      <c r="P137" s="2721">
        <f t="shared" si="677"/>
        <v>0</v>
      </c>
      <c r="S137" s="3916"/>
      <c r="T137" s="3917"/>
      <c r="U137" s="3917"/>
      <c r="V137" s="3917"/>
      <c r="W137" s="3918"/>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2.95" customHeight="1">
      <c r="A138" s="785"/>
      <c r="B138" s="785"/>
      <c r="C138" s="508"/>
      <c r="D138" s="43"/>
      <c r="E138" s="3992"/>
      <c r="F138" s="3992"/>
      <c r="G138" s="35"/>
      <c r="H138" s="48" t="s">
        <v>1159</v>
      </c>
      <c r="I138" s="13"/>
      <c r="J138" s="35"/>
      <c r="K138" s="2358">
        <f>IY58</f>
        <v>0</v>
      </c>
      <c r="L138" s="2359">
        <f>IZ58</f>
        <v>0</v>
      </c>
      <c r="M138" s="2359">
        <f>JA58</f>
        <v>0</v>
      </c>
      <c r="N138" s="2359">
        <f>JB58</f>
        <v>0</v>
      </c>
      <c r="O138" s="2360">
        <f>JC58</f>
        <v>0</v>
      </c>
      <c r="P138" s="546">
        <f t="shared" si="677"/>
        <v>0</v>
      </c>
      <c r="S138" s="3916"/>
      <c r="T138" s="3917"/>
      <c r="U138" s="3917"/>
      <c r="V138" s="3917"/>
      <c r="W138" s="3918"/>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1246</v>
      </c>
      <c r="I139" s="482" t="s">
        <v>1247</v>
      </c>
      <c r="J139" s="1509">
        <f>IF(P76=0,0,P139/P76)</f>
        <v>0</v>
      </c>
      <c r="K139" s="2731">
        <f>SUM(K137:K138)+JD58</f>
        <v>0</v>
      </c>
      <c r="L139" s="2731">
        <f>SUM(L137:L138)+JE58</f>
        <v>0</v>
      </c>
      <c r="M139" s="2731">
        <f>SUM(M137:M138)+JF58</f>
        <v>0</v>
      </c>
      <c r="N139" s="2731">
        <f>SUM(N137:N138)+JG58</f>
        <v>0</v>
      </c>
      <c r="O139" s="2731">
        <f>SUM(O137:O138)+JH58</f>
        <v>0</v>
      </c>
      <c r="P139" s="2731">
        <f t="shared" si="677"/>
        <v>0</v>
      </c>
      <c r="S139" s="3916"/>
      <c r="T139" s="3917"/>
      <c r="U139" s="3917"/>
      <c r="V139" s="3917"/>
      <c r="W139" s="3918"/>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1250</v>
      </c>
      <c r="F140" s="43"/>
      <c r="G140" s="98"/>
      <c r="H140" s="54"/>
      <c r="I140" s="35"/>
      <c r="J140" s="35"/>
      <c r="K140" s="2732"/>
      <c r="L140" s="2732"/>
      <c r="M140" s="2732"/>
      <c r="N140" s="2732"/>
      <c r="O140" s="2732"/>
      <c r="P140" s="2733">
        <f t="shared" si="677"/>
        <v>0</v>
      </c>
      <c r="S140" s="3916"/>
      <c r="T140" s="3917"/>
      <c r="U140" s="3917"/>
      <c r="V140" s="3917"/>
      <c r="W140" s="3918"/>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993" t="str">
        <f>IF(AND('Part III-A-Uses of Funds'!$T$180="Yes",'Part VIII Scoring Criteria'!$AA$305&gt;0,P141&lt;1),"SHOW HISTORIC UNITS HERE &gt;&gt;&gt;&gt;","")</f>
        <v/>
      </c>
      <c r="B141" s="3993"/>
      <c r="C141" s="3993"/>
      <c r="D141" s="3993"/>
      <c r="E141" s="274" t="s">
        <v>1251</v>
      </c>
      <c r="F141" s="43"/>
      <c r="G141" s="98"/>
      <c r="H141" s="54"/>
      <c r="I141" s="35"/>
      <c r="J141" s="35"/>
      <c r="K141" s="2362"/>
      <c r="L141" s="2362"/>
      <c r="M141" s="2362"/>
      <c r="N141" s="2362"/>
      <c r="O141" s="2362"/>
      <c r="P141" s="2363">
        <f t="shared" si="677"/>
        <v>0</v>
      </c>
      <c r="S141" s="3916"/>
      <c r="T141" s="3917"/>
      <c r="U141" s="3917"/>
      <c r="V141" s="3917"/>
      <c r="W141" s="3918"/>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916"/>
      <c r="T142" s="3917"/>
      <c r="U142" s="3917"/>
      <c r="V142" s="3917"/>
      <c r="W142" s="3918"/>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1252</v>
      </c>
      <c r="F143" s="43"/>
      <c r="G143" s="98"/>
      <c r="H143" s="54"/>
      <c r="I143" s="35"/>
      <c r="J143" s="35"/>
      <c r="K143" s="2734">
        <f>K152+K156+K160+K162+K164+K166</f>
        <v>0</v>
      </c>
      <c r="L143" s="2735">
        <f>L152+L156+L160+L162+L164+L166</f>
        <v>0</v>
      </c>
      <c r="M143" s="2735">
        <f>M152+M156+M160+M162+M164+M166</f>
        <v>0</v>
      </c>
      <c r="N143" s="2735">
        <f>N152+N156+N160+N162+N164+N166</f>
        <v>0</v>
      </c>
      <c r="O143" s="2736">
        <f>O152+O156+O160+O162+O164+O166</f>
        <v>0</v>
      </c>
      <c r="P143" s="2737">
        <f>SUM(K143:O143)</f>
        <v>0</v>
      </c>
      <c r="S143" s="3913"/>
      <c r="T143" s="3914"/>
      <c r="U143" s="3914"/>
      <c r="V143" s="3914"/>
      <c r="W143" s="3915"/>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924" t="s">
        <v>1253</v>
      </c>
      <c r="D145" s="3924"/>
      <c r="E145" s="48" t="s">
        <v>1254</v>
      </c>
      <c r="F145" s="43"/>
      <c r="G145" s="98"/>
      <c r="H145" s="54"/>
      <c r="I145" s="35"/>
      <c r="J145" s="35"/>
      <c r="K145" s="2738" t="s">
        <v>7444</v>
      </c>
      <c r="L145" s="43" t="s">
        <v>1255</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924"/>
      <c r="D146" s="3924"/>
      <c r="E146" s="48"/>
      <c r="F146" s="77"/>
      <c r="G146" s="77"/>
      <c r="H146" s="77"/>
      <c r="I146" s="77"/>
      <c r="J146" s="77"/>
      <c r="K146" s="2364" t="s">
        <v>7474</v>
      </c>
      <c r="L146" s="3924" t="s">
        <v>1256</v>
      </c>
      <c r="M146" s="3924"/>
      <c r="N146" s="3924"/>
      <c r="O146" s="3924"/>
      <c r="P146" s="3924"/>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924"/>
      <c r="D147" s="3924"/>
      <c r="E147" s="48"/>
      <c r="F147" s="77"/>
      <c r="G147" s="77"/>
      <c r="H147" s="77"/>
      <c r="I147" s="77"/>
      <c r="J147" s="77"/>
      <c r="K147" s="2361"/>
      <c r="L147" s="3924"/>
      <c r="M147" s="3924"/>
      <c r="N147" s="3924"/>
      <c r="O147" s="3924"/>
      <c r="P147" s="3924"/>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25</v>
      </c>
      <c r="B149" s="6" t="s">
        <v>1240</v>
      </c>
      <c r="C149" s="77"/>
      <c r="D149" s="77"/>
      <c r="E149" s="77"/>
      <c r="F149" s="77"/>
      <c r="G149" s="77"/>
      <c r="H149" s="40"/>
      <c r="I149" s="77"/>
      <c r="J149" s="77"/>
      <c r="K149" s="77"/>
      <c r="L149" s="3935" t="str">
        <f>$O$62</f>
        <v>Income Averaging</v>
      </c>
      <c r="M149" s="3936"/>
      <c r="N149" s="3936"/>
      <c r="O149" s="3937"/>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923" t="s">
        <v>1257</v>
      </c>
      <c r="D150" s="3923"/>
      <c r="E150" s="651" t="s">
        <v>648</v>
      </c>
      <c r="F150" s="2365"/>
      <c r="G150" s="652"/>
      <c r="H150" s="975"/>
      <c r="I150" s="653"/>
      <c r="J150" s="654"/>
      <c r="K150" s="2739">
        <f t="shared" ref="K150:P150" si="678">SUM(K151:K158)</f>
        <v>0</v>
      </c>
      <c r="L150" s="2740">
        <f t="shared" si="678"/>
        <v>24</v>
      </c>
      <c r="M150" s="2740">
        <f t="shared" si="678"/>
        <v>36</v>
      </c>
      <c r="N150" s="2740">
        <f t="shared" si="678"/>
        <v>0</v>
      </c>
      <c r="O150" s="2741">
        <f t="shared" si="678"/>
        <v>0</v>
      </c>
      <c r="P150" s="2742">
        <f t="shared" si="678"/>
        <v>60</v>
      </c>
      <c r="S150" s="3920"/>
      <c r="T150" s="3921"/>
      <c r="U150" s="3921"/>
      <c r="V150" s="3921"/>
      <c r="W150" s="3922"/>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924"/>
      <c r="D151" s="3924"/>
      <c r="E151" s="48"/>
      <c r="F151" s="43"/>
      <c r="G151" s="35"/>
      <c r="H151" s="947" t="s">
        <v>1258</v>
      </c>
      <c r="I151" s="16"/>
      <c r="J151" s="655"/>
      <c r="K151" s="787">
        <f>LB58</f>
        <v>0</v>
      </c>
      <c r="L151" s="788">
        <f>LC58</f>
        <v>0</v>
      </c>
      <c r="M151" s="788">
        <f>LD58</f>
        <v>0</v>
      </c>
      <c r="N151" s="788">
        <f>LE58</f>
        <v>0</v>
      </c>
      <c r="O151" s="789">
        <f>LF58</f>
        <v>0</v>
      </c>
      <c r="P151" s="762">
        <f t="shared" ref="P151:P166" si="679">SUM(K151:O151)</f>
        <v>0</v>
      </c>
      <c r="S151" s="3916"/>
      <c r="T151" s="3917"/>
      <c r="U151" s="3917"/>
      <c r="V151" s="3917"/>
      <c r="W151" s="3918"/>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924"/>
      <c r="D152" s="3924"/>
      <c r="E152" s="48"/>
      <c r="F152" s="43"/>
      <c r="G152" s="35"/>
      <c r="H152" s="976" t="s">
        <v>1252</v>
      </c>
      <c r="I152" s="44"/>
      <c r="J152" s="655"/>
      <c r="K152" s="1139">
        <f>LL58</f>
        <v>0</v>
      </c>
      <c r="L152" s="1140">
        <f>LM58</f>
        <v>0</v>
      </c>
      <c r="M152" s="1140">
        <f>LN58</f>
        <v>0</v>
      </c>
      <c r="N152" s="1140">
        <f>LO58</f>
        <v>0</v>
      </c>
      <c r="O152" s="1141">
        <f>LP58</f>
        <v>0</v>
      </c>
      <c r="P152" s="1151">
        <f t="shared" si="679"/>
        <v>0</v>
      </c>
      <c r="S152" s="3916"/>
      <c r="T152" s="3917"/>
      <c r="U152" s="3917"/>
      <c r="V152" s="3917"/>
      <c r="W152" s="3918"/>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924"/>
      <c r="D153" s="3924"/>
      <c r="E153" s="48"/>
      <c r="F153" s="43"/>
      <c r="G153" s="35"/>
      <c r="H153" s="947" t="s">
        <v>1259</v>
      </c>
      <c r="I153" s="16"/>
      <c r="J153" s="655"/>
      <c r="K153" s="787">
        <f>LG58</f>
        <v>0</v>
      </c>
      <c r="L153" s="788">
        <f>LH58</f>
        <v>24</v>
      </c>
      <c r="M153" s="788">
        <f>LI58</f>
        <v>36</v>
      </c>
      <c r="N153" s="788">
        <f>LJ58</f>
        <v>0</v>
      </c>
      <c r="O153" s="789">
        <f>LK58</f>
        <v>0</v>
      </c>
      <c r="P153" s="762">
        <f t="shared" si="679"/>
        <v>60</v>
      </c>
      <c r="S153" s="3916"/>
      <c r="T153" s="3917"/>
      <c r="U153" s="3917"/>
      <c r="V153" s="3917"/>
      <c r="W153" s="3918"/>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924"/>
      <c r="D154" s="3924"/>
      <c r="E154" s="48"/>
      <c r="F154" s="43"/>
      <c r="G154" s="35"/>
      <c r="H154" s="976" t="s">
        <v>1252</v>
      </c>
      <c r="I154" s="44"/>
      <c r="J154" s="655"/>
      <c r="K154" s="1139">
        <f>LQ58</f>
        <v>0</v>
      </c>
      <c r="L154" s="1140">
        <f>LR58</f>
        <v>0</v>
      </c>
      <c r="M154" s="1140">
        <f>LS58</f>
        <v>0</v>
      </c>
      <c r="N154" s="1140">
        <f>LT58</f>
        <v>0</v>
      </c>
      <c r="O154" s="1141">
        <f>LU58</f>
        <v>0</v>
      </c>
      <c r="P154" s="1151">
        <f t="shared" si="679"/>
        <v>0</v>
      </c>
      <c r="S154" s="3916"/>
      <c r="T154" s="3917"/>
      <c r="U154" s="3917"/>
      <c r="V154" s="3917"/>
      <c r="W154" s="3918"/>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924"/>
      <c r="D155" s="3924"/>
      <c r="E155" s="48"/>
      <c r="F155" s="43"/>
      <c r="G155" s="35"/>
      <c r="H155" s="947" t="s">
        <v>1260</v>
      </c>
      <c r="I155" s="16"/>
      <c r="J155" s="35"/>
      <c r="K155" s="796">
        <f>LV58</f>
        <v>0</v>
      </c>
      <c r="L155" s="797">
        <f>LW58</f>
        <v>0</v>
      </c>
      <c r="M155" s="797">
        <f>LX58</f>
        <v>0</v>
      </c>
      <c r="N155" s="797">
        <f>LY58</f>
        <v>0</v>
      </c>
      <c r="O155" s="798">
        <f>LZ58</f>
        <v>0</v>
      </c>
      <c r="P155" s="2366">
        <f t="shared" si="679"/>
        <v>0</v>
      </c>
      <c r="S155" s="3916"/>
      <c r="T155" s="3917"/>
      <c r="U155" s="3917"/>
      <c r="V155" s="3917"/>
      <c r="W155" s="3918"/>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924"/>
      <c r="D156" s="3924"/>
      <c r="E156" s="48"/>
      <c r="F156" s="43"/>
      <c r="G156" s="35"/>
      <c r="H156" s="976" t="s">
        <v>1252</v>
      </c>
      <c r="I156" s="44"/>
      <c r="J156" s="35"/>
      <c r="K156" s="1147">
        <f>MF58</f>
        <v>0</v>
      </c>
      <c r="L156" s="1148">
        <f>MG58</f>
        <v>0</v>
      </c>
      <c r="M156" s="1148">
        <f>MH58</f>
        <v>0</v>
      </c>
      <c r="N156" s="1148">
        <f>MI58</f>
        <v>0</v>
      </c>
      <c r="O156" s="1149">
        <f>MJ58</f>
        <v>0</v>
      </c>
      <c r="P156" s="1150">
        <f t="shared" si="679"/>
        <v>0</v>
      </c>
      <c r="S156" s="3916"/>
      <c r="T156" s="3917"/>
      <c r="U156" s="3917"/>
      <c r="V156" s="3917"/>
      <c r="W156" s="3918"/>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924"/>
      <c r="D157" s="3924"/>
      <c r="E157" s="48"/>
      <c r="F157" s="43"/>
      <c r="G157" s="35"/>
      <c r="H157" s="947" t="s">
        <v>1261</v>
      </c>
      <c r="I157" s="16"/>
      <c r="J157" s="35"/>
      <c r="K157" s="796">
        <f>MA58</f>
        <v>0</v>
      </c>
      <c r="L157" s="797">
        <f>MB58</f>
        <v>0</v>
      </c>
      <c r="M157" s="797">
        <f>MC58</f>
        <v>0</v>
      </c>
      <c r="N157" s="797">
        <f>MD58</f>
        <v>0</v>
      </c>
      <c r="O157" s="798">
        <f>ME58</f>
        <v>0</v>
      </c>
      <c r="P157" s="2366">
        <f t="shared" si="679"/>
        <v>0</v>
      </c>
      <c r="S157" s="3916"/>
      <c r="T157" s="3917"/>
      <c r="U157" s="3917"/>
      <c r="V157" s="3917"/>
      <c r="W157" s="3918"/>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924"/>
      <c r="D158" s="3924"/>
      <c r="E158" s="48"/>
      <c r="F158" s="43"/>
      <c r="G158" s="35"/>
      <c r="H158" s="976" t="s">
        <v>1252</v>
      </c>
      <c r="I158" s="44"/>
      <c r="J158" s="35"/>
      <c r="K158" s="1147">
        <f>MK58</f>
        <v>0</v>
      </c>
      <c r="L158" s="1148">
        <f>ML58</f>
        <v>0</v>
      </c>
      <c r="M158" s="1148">
        <f>MM58</f>
        <v>0</v>
      </c>
      <c r="N158" s="1148">
        <f>MN58</f>
        <v>0</v>
      </c>
      <c r="O158" s="1149">
        <f>MO58</f>
        <v>0</v>
      </c>
      <c r="P158" s="1150">
        <f t="shared" si="679"/>
        <v>0</v>
      </c>
      <c r="S158" s="3916"/>
      <c r="T158" s="3917"/>
      <c r="U158" s="3917"/>
      <c r="V158" s="3917"/>
      <c r="W158" s="3918"/>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1262</v>
      </c>
      <c r="F159" s="43"/>
      <c r="G159" s="35"/>
      <c r="H159" s="947"/>
      <c r="I159" s="16"/>
      <c r="J159" s="35"/>
      <c r="K159" s="2718">
        <f>JN58</f>
        <v>0</v>
      </c>
      <c r="L159" s="2719">
        <f>JO58</f>
        <v>0</v>
      </c>
      <c r="M159" s="2719">
        <f>JP58</f>
        <v>0</v>
      </c>
      <c r="N159" s="2719">
        <f>JQ58</f>
        <v>0</v>
      </c>
      <c r="O159" s="2720">
        <f>JR58</f>
        <v>0</v>
      </c>
      <c r="P159" s="2743">
        <f t="shared" si="679"/>
        <v>0</v>
      </c>
      <c r="S159" s="3916"/>
      <c r="T159" s="3917"/>
      <c r="U159" s="3917"/>
      <c r="V159" s="3917"/>
      <c r="W159" s="3918"/>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1252</v>
      </c>
      <c r="I160" s="44"/>
      <c r="J160" s="35"/>
      <c r="K160" s="1139">
        <f>JS58</f>
        <v>0</v>
      </c>
      <c r="L160" s="1140">
        <f>JT58</f>
        <v>0</v>
      </c>
      <c r="M160" s="1140">
        <f>JU58</f>
        <v>0</v>
      </c>
      <c r="N160" s="1140">
        <f>JV58</f>
        <v>0</v>
      </c>
      <c r="O160" s="1141">
        <f>JW58</f>
        <v>0</v>
      </c>
      <c r="P160" s="1142">
        <f t="shared" si="679"/>
        <v>0</v>
      </c>
      <c r="S160" s="3916"/>
      <c r="T160" s="3917"/>
      <c r="U160" s="3917"/>
      <c r="V160" s="3917"/>
      <c r="W160" s="3918"/>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650</v>
      </c>
      <c r="F161" s="43"/>
      <c r="G161" s="35"/>
      <c r="H161" s="947"/>
      <c r="I161" s="16"/>
      <c r="J161" s="35"/>
      <c r="K161" s="796">
        <f>KR58</f>
        <v>0</v>
      </c>
      <c r="L161" s="797">
        <f>KS58</f>
        <v>0</v>
      </c>
      <c r="M161" s="797">
        <f>KT58</f>
        <v>0</v>
      </c>
      <c r="N161" s="797">
        <f>KU58</f>
        <v>0</v>
      </c>
      <c r="O161" s="798">
        <f>KV58</f>
        <v>0</v>
      </c>
      <c r="P161" s="1138">
        <f t="shared" si="679"/>
        <v>0</v>
      </c>
      <c r="S161" s="3916"/>
      <c r="T161" s="3917"/>
      <c r="U161" s="3917"/>
      <c r="V161" s="3917"/>
      <c r="W161" s="3918"/>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1252</v>
      </c>
      <c r="I162" s="44"/>
      <c r="J162" s="35"/>
      <c r="K162" s="1139">
        <f>KW58</f>
        <v>0</v>
      </c>
      <c r="L162" s="1140">
        <f>KX58</f>
        <v>0</v>
      </c>
      <c r="M162" s="1140">
        <f>KY58</f>
        <v>0</v>
      </c>
      <c r="N162" s="1140">
        <f>KZ58</f>
        <v>0</v>
      </c>
      <c r="O162" s="1141">
        <f>LA58</f>
        <v>0</v>
      </c>
      <c r="P162" s="1142">
        <f t="shared" si="679"/>
        <v>0</v>
      </c>
      <c r="S162" s="3916"/>
      <c r="T162" s="3917"/>
      <c r="U162" s="3917"/>
      <c r="V162" s="3917"/>
      <c r="W162" s="3918"/>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641</v>
      </c>
      <c r="F163" s="43"/>
      <c r="G163" s="35"/>
      <c r="H163" s="947"/>
      <c r="I163" s="16"/>
      <c r="J163" s="35"/>
      <c r="K163" s="796">
        <f>KH58</f>
        <v>0</v>
      </c>
      <c r="L163" s="797">
        <f>KI58</f>
        <v>0</v>
      </c>
      <c r="M163" s="797">
        <f>KJ58</f>
        <v>0</v>
      </c>
      <c r="N163" s="797">
        <f>KK58</f>
        <v>0</v>
      </c>
      <c r="O163" s="798">
        <f>KL58</f>
        <v>0</v>
      </c>
      <c r="P163" s="1138">
        <f t="shared" si="679"/>
        <v>0</v>
      </c>
      <c r="S163" s="3916"/>
      <c r="T163" s="3917"/>
      <c r="U163" s="3917"/>
      <c r="V163" s="3917"/>
      <c r="W163" s="3918"/>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1252</v>
      </c>
      <c r="I164" s="44"/>
      <c r="J164" s="35"/>
      <c r="K164" s="1147">
        <f>KM58</f>
        <v>0</v>
      </c>
      <c r="L164" s="1148">
        <f>KN58</f>
        <v>0</v>
      </c>
      <c r="M164" s="1148">
        <f>KO58</f>
        <v>0</v>
      </c>
      <c r="N164" s="1148">
        <f>KP58</f>
        <v>0</v>
      </c>
      <c r="O164" s="1149">
        <f>KQ58</f>
        <v>0</v>
      </c>
      <c r="P164" s="1142">
        <f t="shared" si="679"/>
        <v>0</v>
      </c>
      <c r="S164" s="3916"/>
      <c r="T164" s="3917"/>
      <c r="U164" s="3917"/>
      <c r="V164" s="3917"/>
      <c r="W164" s="3918"/>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1263</v>
      </c>
      <c r="F165" s="43"/>
      <c r="G165" s="35"/>
      <c r="H165" s="947"/>
      <c r="I165" s="16"/>
      <c r="J165" s="35"/>
      <c r="K165" s="796">
        <f>JX58</f>
        <v>0</v>
      </c>
      <c r="L165" s="797">
        <f>JY58</f>
        <v>0</v>
      </c>
      <c r="M165" s="797">
        <f>JZ58</f>
        <v>0</v>
      </c>
      <c r="N165" s="797">
        <f>KA58</f>
        <v>0</v>
      </c>
      <c r="O165" s="798">
        <f>KB58</f>
        <v>0</v>
      </c>
      <c r="P165" s="1138">
        <f t="shared" si="679"/>
        <v>0</v>
      </c>
      <c r="S165" s="3916"/>
      <c r="T165" s="3917"/>
      <c r="U165" s="3917"/>
      <c r="V165" s="3917"/>
      <c r="W165" s="3918"/>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1252</v>
      </c>
      <c r="I166" s="44"/>
      <c r="J166" s="35"/>
      <c r="K166" s="1143">
        <f>KC58</f>
        <v>0</v>
      </c>
      <c r="L166" s="1144">
        <f>KD58</f>
        <v>0</v>
      </c>
      <c r="M166" s="1144">
        <f>KE58</f>
        <v>0</v>
      </c>
      <c r="N166" s="1144">
        <f>KF58</f>
        <v>0</v>
      </c>
      <c r="O166" s="1145">
        <f>KG58</f>
        <v>0</v>
      </c>
      <c r="P166" s="1146">
        <f t="shared" si="679"/>
        <v>0</v>
      </c>
      <c r="S166" s="3913"/>
      <c r="T166" s="3914"/>
      <c r="U166" s="3914"/>
      <c r="V166" s="3914"/>
      <c r="W166" s="3915"/>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583"/>
      <c r="T167" s="3583"/>
      <c r="U167" s="3583"/>
      <c r="V167" s="3583"/>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923" t="s">
        <v>1264</v>
      </c>
      <c r="D169" s="3923"/>
      <c r="E169" s="651" t="s">
        <v>1265</v>
      </c>
      <c r="F169" s="652"/>
      <c r="G169" s="653"/>
      <c r="H169" s="977"/>
      <c r="I169" s="656"/>
      <c r="J169" s="654"/>
      <c r="K169" s="2718">
        <f t="shared" ref="K169:O170" si="680">K159+K163+K165</f>
        <v>0</v>
      </c>
      <c r="L169" s="2719">
        <f t="shared" si="680"/>
        <v>0</v>
      </c>
      <c r="M169" s="2719">
        <f t="shared" si="680"/>
        <v>0</v>
      </c>
      <c r="N169" s="2719">
        <f t="shared" si="680"/>
        <v>0</v>
      </c>
      <c r="O169" s="2720">
        <f t="shared" si="680"/>
        <v>0</v>
      </c>
      <c r="P169" s="2743">
        <f t="shared" ref="P169:P176" si="681">SUM(K169:O169)</f>
        <v>0</v>
      </c>
      <c r="S169" s="3920"/>
      <c r="T169" s="3921"/>
      <c r="U169" s="3921"/>
      <c r="V169" s="3921"/>
      <c r="W169" s="3922"/>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924"/>
      <c r="D170" s="3924"/>
      <c r="E170" s="48"/>
      <c r="F170" s="98"/>
      <c r="G170" s="35"/>
      <c r="H170" s="976" t="s">
        <v>1252</v>
      </c>
      <c r="I170" s="44"/>
      <c r="J170" s="655"/>
      <c r="K170" s="1139">
        <f t="shared" si="680"/>
        <v>0</v>
      </c>
      <c r="L170" s="1140">
        <f t="shared" si="680"/>
        <v>0</v>
      </c>
      <c r="M170" s="1140">
        <f t="shared" si="680"/>
        <v>0</v>
      </c>
      <c r="N170" s="1140">
        <f t="shared" si="680"/>
        <v>0</v>
      </c>
      <c r="O170" s="1141">
        <f t="shared" si="680"/>
        <v>0</v>
      </c>
      <c r="P170" s="1142">
        <f t="shared" si="681"/>
        <v>0</v>
      </c>
      <c r="S170" s="3916"/>
      <c r="T170" s="3917"/>
      <c r="U170" s="3917"/>
      <c r="V170" s="3917"/>
      <c r="W170" s="3918"/>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924"/>
      <c r="D171" s="3924"/>
      <c r="E171" s="48" t="s">
        <v>1266</v>
      </c>
      <c r="F171" s="98"/>
      <c r="G171" s="35"/>
      <c r="H171" s="135"/>
      <c r="I171" s="98"/>
      <c r="J171" s="655"/>
      <c r="K171" s="796">
        <f t="shared" ref="K171:O172" si="682">K161</f>
        <v>0</v>
      </c>
      <c r="L171" s="797">
        <f t="shared" si="682"/>
        <v>0</v>
      </c>
      <c r="M171" s="797">
        <f t="shared" si="682"/>
        <v>0</v>
      </c>
      <c r="N171" s="797">
        <f t="shared" si="682"/>
        <v>0</v>
      </c>
      <c r="O171" s="798">
        <f t="shared" si="682"/>
        <v>0</v>
      </c>
      <c r="P171" s="1138">
        <f t="shared" si="681"/>
        <v>0</v>
      </c>
      <c r="S171" s="3916"/>
      <c r="T171" s="3917"/>
      <c r="U171" s="3917"/>
      <c r="V171" s="3917"/>
      <c r="W171" s="3918"/>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924"/>
      <c r="D172" s="3924"/>
      <c r="E172" s="48"/>
      <c r="F172" s="98"/>
      <c r="G172" s="35"/>
      <c r="H172" s="976" t="s">
        <v>1252</v>
      </c>
      <c r="I172" s="44"/>
      <c r="J172" s="655"/>
      <c r="K172" s="1139">
        <f t="shared" si="682"/>
        <v>0</v>
      </c>
      <c r="L172" s="1140">
        <f t="shared" si="682"/>
        <v>0</v>
      </c>
      <c r="M172" s="1140">
        <f t="shared" si="682"/>
        <v>0</v>
      </c>
      <c r="N172" s="1140">
        <f t="shared" si="682"/>
        <v>0</v>
      </c>
      <c r="O172" s="1141">
        <f t="shared" si="682"/>
        <v>0</v>
      </c>
      <c r="P172" s="1142">
        <f t="shared" si="681"/>
        <v>0</v>
      </c>
      <c r="S172" s="3916"/>
      <c r="T172" s="3917"/>
      <c r="U172" s="3917"/>
      <c r="V172" s="3917"/>
      <c r="W172" s="3918"/>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924"/>
      <c r="D173" s="3924"/>
      <c r="E173" s="48" t="s">
        <v>1267</v>
      </c>
      <c r="F173" s="98"/>
      <c r="G173" s="35"/>
      <c r="H173" s="947"/>
      <c r="I173" s="16"/>
      <c r="J173" s="655"/>
      <c r="K173" s="796">
        <f t="shared" ref="K173:O176" si="683">K151+K155</f>
        <v>0</v>
      </c>
      <c r="L173" s="797">
        <f t="shared" si="683"/>
        <v>0</v>
      </c>
      <c r="M173" s="797">
        <f t="shared" si="683"/>
        <v>0</v>
      </c>
      <c r="N173" s="797">
        <f t="shared" si="683"/>
        <v>0</v>
      </c>
      <c r="O173" s="798">
        <f t="shared" si="683"/>
        <v>0</v>
      </c>
      <c r="P173" s="1138">
        <f t="shared" si="681"/>
        <v>0</v>
      </c>
      <c r="S173" s="3916"/>
      <c r="T173" s="3917"/>
      <c r="U173" s="3917"/>
      <c r="V173" s="3917"/>
      <c r="W173" s="3918"/>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924"/>
      <c r="D174" s="3924"/>
      <c r="E174" s="48"/>
      <c r="F174" s="98"/>
      <c r="G174" s="35"/>
      <c r="H174" s="976" t="s">
        <v>1252</v>
      </c>
      <c r="I174" s="44"/>
      <c r="J174" s="655"/>
      <c r="K174" s="1139">
        <f t="shared" si="683"/>
        <v>0</v>
      </c>
      <c r="L174" s="1140">
        <f t="shared" si="683"/>
        <v>0</v>
      </c>
      <c r="M174" s="1140">
        <f t="shared" si="683"/>
        <v>0</v>
      </c>
      <c r="N174" s="1140">
        <f t="shared" si="683"/>
        <v>0</v>
      </c>
      <c r="O174" s="1141">
        <f t="shared" si="683"/>
        <v>0</v>
      </c>
      <c r="P174" s="1142">
        <f t="shared" si="681"/>
        <v>0</v>
      </c>
      <c r="S174" s="3916"/>
      <c r="T174" s="3917"/>
      <c r="U174" s="3917"/>
      <c r="V174" s="3917"/>
      <c r="W174" s="3918"/>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924"/>
      <c r="D175" s="3924"/>
      <c r="E175" s="48" t="s">
        <v>1268</v>
      </c>
      <c r="F175" s="98"/>
      <c r="G175" s="35"/>
      <c r="H175" s="947"/>
      <c r="I175" s="16"/>
      <c r="J175" s="655"/>
      <c r="K175" s="796">
        <f t="shared" si="683"/>
        <v>0</v>
      </c>
      <c r="L175" s="797">
        <f t="shared" si="683"/>
        <v>24</v>
      </c>
      <c r="M175" s="797">
        <f t="shared" si="683"/>
        <v>36</v>
      </c>
      <c r="N175" s="797">
        <f t="shared" si="683"/>
        <v>0</v>
      </c>
      <c r="O175" s="798">
        <f t="shared" si="683"/>
        <v>0</v>
      </c>
      <c r="P175" s="1138">
        <f t="shared" si="681"/>
        <v>60</v>
      </c>
      <c r="S175" s="3916"/>
      <c r="T175" s="3917"/>
      <c r="U175" s="3917"/>
      <c r="V175" s="3917"/>
      <c r="W175" s="3918"/>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1252</v>
      </c>
      <c r="I176" s="44"/>
      <c r="J176" s="35"/>
      <c r="K176" s="1143">
        <f t="shared" si="683"/>
        <v>0</v>
      </c>
      <c r="L176" s="1144">
        <f t="shared" si="683"/>
        <v>0</v>
      </c>
      <c r="M176" s="1144">
        <f t="shared" si="683"/>
        <v>0</v>
      </c>
      <c r="N176" s="1144">
        <f t="shared" si="683"/>
        <v>0</v>
      </c>
      <c r="O176" s="1145">
        <f t="shared" si="683"/>
        <v>0</v>
      </c>
      <c r="P176" s="1146">
        <f t="shared" si="681"/>
        <v>0</v>
      </c>
      <c r="Q176" s="4002" t="s">
        <v>1269</v>
      </c>
      <c r="S176" s="3913"/>
      <c r="T176" s="3914"/>
      <c r="U176" s="3914"/>
      <c r="V176" s="3914"/>
      <c r="W176" s="3915"/>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4002"/>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1270</v>
      </c>
      <c r="C178" s="43"/>
      <c r="D178" s="43"/>
      <c r="E178" s="43"/>
      <c r="F178" s="43"/>
      <c r="G178" s="35"/>
      <c r="H178" s="16"/>
      <c r="I178" s="16"/>
      <c r="J178" s="35"/>
      <c r="K178" s="2367"/>
      <c r="L178" s="2367"/>
      <c r="M178" s="2367"/>
      <c r="N178" s="2367"/>
      <c r="O178" s="2367"/>
      <c r="P178" s="2367"/>
      <c r="Q178" s="4002"/>
      <c r="S178" s="3549" t="str">
        <f>B178</f>
        <v>UNIT SQUARE FOOTAGE</v>
      </c>
      <c r="T178" s="3549"/>
      <c r="U178" s="3549"/>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1271</v>
      </c>
      <c r="D179" s="43"/>
      <c r="E179" s="43"/>
      <c r="F179" s="43"/>
      <c r="G179" s="35"/>
      <c r="H179" s="40" t="s">
        <v>1219</v>
      </c>
      <c r="I179" s="25"/>
      <c r="J179" s="35"/>
      <c r="K179" s="2728">
        <f>FR58</f>
        <v>0</v>
      </c>
      <c r="L179" s="2729">
        <f>FS58</f>
        <v>0</v>
      </c>
      <c r="M179" s="2729">
        <f>FT58</f>
        <v>0</v>
      </c>
      <c r="N179" s="2729">
        <f>FU58</f>
        <v>0</v>
      </c>
      <c r="O179" s="2730">
        <f>FV58</f>
        <v>0</v>
      </c>
      <c r="P179" s="2744">
        <f t="shared" ref="P179:P185" si="684">SUM(K179:O179)</f>
        <v>0</v>
      </c>
      <c r="Q179" s="880" t="str">
        <f t="shared" ref="Q179:Q185" si="685">IF(OR(P65=0,P65=""),"",P179/P65)</f>
        <v/>
      </c>
      <c r="S179" s="3920"/>
      <c r="T179" s="3921"/>
      <c r="U179" s="3921"/>
      <c r="V179" s="3921"/>
      <c r="W179" s="3922"/>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1221</v>
      </c>
      <c r="I180" s="16"/>
      <c r="J180" s="35"/>
      <c r="K180" s="799">
        <f>FW58</f>
        <v>0</v>
      </c>
      <c r="L180" s="800">
        <f>FX58</f>
        <v>1400</v>
      </c>
      <c r="M180" s="800">
        <f>FY58</f>
        <v>3824</v>
      </c>
      <c r="N180" s="800">
        <f>FZ58</f>
        <v>0</v>
      </c>
      <c r="O180" s="801">
        <f>GA58</f>
        <v>0</v>
      </c>
      <c r="P180" s="760">
        <f t="shared" si="684"/>
        <v>5224</v>
      </c>
      <c r="Q180" s="880">
        <f t="shared" si="685"/>
        <v>870.66666666666663</v>
      </c>
      <c r="S180" s="3916"/>
      <c r="T180" s="3917"/>
      <c r="U180" s="3917"/>
      <c r="V180" s="3917"/>
      <c r="W180" s="3918"/>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1222</v>
      </c>
      <c r="I181" s="16"/>
      <c r="J181" s="35"/>
      <c r="K181" s="799">
        <f>GB58</f>
        <v>0</v>
      </c>
      <c r="L181" s="800">
        <f>GC58</f>
        <v>10500</v>
      </c>
      <c r="M181" s="800">
        <f>GD58</f>
        <v>20076</v>
      </c>
      <c r="N181" s="800">
        <f>GE58</f>
        <v>0</v>
      </c>
      <c r="O181" s="801">
        <f>GF58</f>
        <v>0</v>
      </c>
      <c r="P181" s="760">
        <f t="shared" si="684"/>
        <v>30576</v>
      </c>
      <c r="Q181" s="880">
        <f t="shared" si="685"/>
        <v>849.33333333333337</v>
      </c>
      <c r="S181" s="3916"/>
      <c r="T181" s="3917"/>
      <c r="U181" s="3917"/>
      <c r="V181" s="3917"/>
      <c r="W181" s="3918"/>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1223</v>
      </c>
      <c r="I182" s="16"/>
      <c r="J182" s="655"/>
      <c r="K182" s="846">
        <f>GG58</f>
        <v>0</v>
      </c>
      <c r="L182" s="847">
        <f>GH58</f>
        <v>4900</v>
      </c>
      <c r="M182" s="847">
        <f>GI58</f>
        <v>10516</v>
      </c>
      <c r="N182" s="847">
        <f>GJ58</f>
        <v>0</v>
      </c>
      <c r="O182" s="848">
        <f>GK58</f>
        <v>0</v>
      </c>
      <c r="P182" s="849">
        <f t="shared" si="684"/>
        <v>15416</v>
      </c>
      <c r="Q182" s="880">
        <f t="shared" si="685"/>
        <v>856.44444444444446</v>
      </c>
      <c r="S182" s="3916"/>
      <c r="T182" s="3917"/>
      <c r="U182" s="3917"/>
      <c r="V182" s="3917"/>
      <c r="W182" s="3918"/>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1224</v>
      </c>
      <c r="I183" s="16"/>
      <c r="J183" s="655"/>
      <c r="K183" s="799">
        <f>GL58</f>
        <v>0</v>
      </c>
      <c r="L183" s="800">
        <f>GM58</f>
        <v>0</v>
      </c>
      <c r="M183" s="800">
        <f>GN58</f>
        <v>0</v>
      </c>
      <c r="N183" s="800">
        <f>GO58</f>
        <v>0</v>
      </c>
      <c r="O183" s="801">
        <f>GP58</f>
        <v>0</v>
      </c>
      <c r="P183" s="760">
        <f t="shared" si="684"/>
        <v>0</v>
      </c>
      <c r="Q183" s="880" t="str">
        <f t="shared" si="685"/>
        <v/>
      </c>
      <c r="S183" s="3916"/>
      <c r="T183" s="3917"/>
      <c r="U183" s="3917"/>
      <c r="V183" s="3917"/>
      <c r="W183" s="3918"/>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1225</v>
      </c>
      <c r="I184" s="16"/>
      <c r="J184" s="35"/>
      <c r="K184" s="799">
        <f>GQ58</f>
        <v>0</v>
      </c>
      <c r="L184" s="800">
        <f>GR58</f>
        <v>0</v>
      </c>
      <c r="M184" s="800">
        <f>GS58</f>
        <v>0</v>
      </c>
      <c r="N184" s="800">
        <f>GT58</f>
        <v>0</v>
      </c>
      <c r="O184" s="801">
        <f>GU58</f>
        <v>0</v>
      </c>
      <c r="P184" s="760">
        <f t="shared" si="684"/>
        <v>0</v>
      </c>
      <c r="Q184" s="880" t="str">
        <f t="shared" si="685"/>
        <v/>
      </c>
      <c r="S184" s="3916"/>
      <c r="T184" s="3917"/>
      <c r="U184" s="3917"/>
      <c r="V184" s="3917"/>
      <c r="W184" s="3918"/>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1226</v>
      </c>
      <c r="I185" s="25"/>
      <c r="J185" s="35"/>
      <c r="K185" s="790">
        <f>GV58</f>
        <v>0</v>
      </c>
      <c r="L185" s="791">
        <f>GW58</f>
        <v>0</v>
      </c>
      <c r="M185" s="791">
        <f>GX58</f>
        <v>0</v>
      </c>
      <c r="N185" s="791">
        <f>GY58</f>
        <v>0</v>
      </c>
      <c r="O185" s="792">
        <f>GZ58</f>
        <v>0</v>
      </c>
      <c r="P185" s="761">
        <f t="shared" si="684"/>
        <v>0</v>
      </c>
      <c r="Q185" s="880" t="str">
        <f t="shared" si="685"/>
        <v/>
      </c>
      <c r="S185" s="3916"/>
      <c r="T185" s="3917"/>
      <c r="U185" s="3917"/>
      <c r="V185" s="3917"/>
      <c r="W185" s="3918"/>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1272</v>
      </c>
      <c r="I186" s="44"/>
      <c r="J186" s="764"/>
      <c r="K186" s="2745">
        <f>SUM(K179:K185)</f>
        <v>0</v>
      </c>
      <c r="L186" s="2745">
        <f>SUM(L179:L185)</f>
        <v>16800</v>
      </c>
      <c r="M186" s="2745">
        <f>SUM(M179:M185)</f>
        <v>34416</v>
      </c>
      <c r="N186" s="2745">
        <f>SUM(N179:N185)</f>
        <v>0</v>
      </c>
      <c r="O186" s="2745">
        <f>SUM(O179:O185)</f>
        <v>0</v>
      </c>
      <c r="P186" s="2745">
        <f>SUM(K186:O186)</f>
        <v>51216</v>
      </c>
      <c r="S186" s="3916"/>
      <c r="T186" s="3917"/>
      <c r="U186" s="3917"/>
      <c r="V186" s="3917"/>
      <c r="W186" s="3918"/>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1159</v>
      </c>
      <c r="D187" s="43"/>
      <c r="E187" s="43"/>
      <c r="F187" s="43"/>
      <c r="G187" s="43"/>
      <c r="H187" s="35"/>
      <c r="I187" s="35"/>
      <c r="J187" s="35"/>
      <c r="K187" s="2746">
        <f>HA58</f>
        <v>0</v>
      </c>
      <c r="L187" s="2747">
        <f>HB58</f>
        <v>0</v>
      </c>
      <c r="M187" s="2747">
        <f>HC58</f>
        <v>0</v>
      </c>
      <c r="N187" s="2747">
        <f>HD58</f>
        <v>0</v>
      </c>
      <c r="O187" s="2748">
        <f>HE58</f>
        <v>0</v>
      </c>
      <c r="P187" s="761">
        <f>SUM(K187:O187)</f>
        <v>0</v>
      </c>
      <c r="Q187" s="852" t="str">
        <f>IF(OR(P73=0,P73=""),"",P187/P73)</f>
        <v/>
      </c>
      <c r="S187" s="3916"/>
      <c r="T187" s="3917"/>
      <c r="U187" s="3917"/>
      <c r="V187" s="3917"/>
      <c r="W187" s="3918"/>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1228</v>
      </c>
      <c r="D188" s="763"/>
      <c r="E188" s="763"/>
      <c r="F188" s="763"/>
      <c r="G188" s="763"/>
      <c r="H188" s="764"/>
      <c r="I188" s="764"/>
      <c r="J188" s="764"/>
      <c r="K188" s="2749">
        <f>SUM(K186:K187)</f>
        <v>0</v>
      </c>
      <c r="L188" s="2749">
        <f>SUM(L186:L187)</f>
        <v>16800</v>
      </c>
      <c r="M188" s="2749">
        <f>SUM(M186:M187)</f>
        <v>34416</v>
      </c>
      <c r="N188" s="2749">
        <f>SUM(N186:N187)</f>
        <v>0</v>
      </c>
      <c r="O188" s="2749">
        <f>SUM(O186:O187)</f>
        <v>0</v>
      </c>
      <c r="P188" s="2749">
        <f>SUM(K188:O188)</f>
        <v>51216</v>
      </c>
      <c r="S188" s="3916"/>
      <c r="T188" s="3917"/>
      <c r="U188" s="3917"/>
      <c r="V188" s="3917"/>
      <c r="W188" s="3918"/>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1229</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916"/>
      <c r="T189" s="3917"/>
      <c r="U189" s="3917"/>
      <c r="V189" s="3917"/>
      <c r="W189" s="3918"/>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1197</v>
      </c>
      <c r="D190" s="43"/>
      <c r="E190" s="43"/>
      <c r="F190" s="43"/>
      <c r="G190" s="43"/>
      <c r="H190" s="35"/>
      <c r="I190" s="35"/>
      <c r="J190" s="35"/>
      <c r="K190" s="2750">
        <f>SUM(K188:K189)</f>
        <v>0</v>
      </c>
      <c r="L190" s="2750">
        <f>SUM(L188:L189)</f>
        <v>16800</v>
      </c>
      <c r="M190" s="2750">
        <f>SUM(M188:M189)</f>
        <v>34416</v>
      </c>
      <c r="N190" s="2750">
        <f>SUM(N188:N189)</f>
        <v>0</v>
      </c>
      <c r="O190" s="2750">
        <f>SUM(O188:O189)</f>
        <v>0</v>
      </c>
      <c r="P190" s="2750">
        <f>SUM(K190:O190)</f>
        <v>51216</v>
      </c>
      <c r="S190" s="3913"/>
      <c r="T190" s="3914"/>
      <c r="U190" s="3914"/>
      <c r="V190" s="3914"/>
      <c r="W190" s="3915"/>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1273</v>
      </c>
      <c r="E192" s="43"/>
      <c r="F192" s="43"/>
      <c r="G192" s="43"/>
      <c r="H192" s="43"/>
      <c r="I192" s="43"/>
      <c r="J192" s="43"/>
      <c r="K192" s="2368" t="str">
        <f>IF(OR(K76="",K76=0),"",K190/K76)</f>
        <v/>
      </c>
      <c r="L192" s="2368">
        <f>IF(OR(L76="",L76=0),"",L190/L76)</f>
        <v>700</v>
      </c>
      <c r="M192" s="2368">
        <f>IF(OR(M76="",M76=0),"",M190/M76)</f>
        <v>956</v>
      </c>
      <c r="N192" s="2368" t="str">
        <f>IF(OR(N76="",N76=0),"",N190/N76)</f>
        <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31</v>
      </c>
      <c r="B194" s="6" t="s">
        <v>1274</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1275</v>
      </c>
      <c r="I195" s="43" t="s">
        <v>1276</v>
      </c>
      <c r="K195" s="3614"/>
      <c r="L195" s="3615"/>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1277</v>
      </c>
      <c r="K196" s="3940">
        <v>16000</v>
      </c>
      <c r="L196" s="3941"/>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1278</v>
      </c>
      <c r="K197" s="3938">
        <f>P190+K195+K196</f>
        <v>67216</v>
      </c>
      <c r="L197" s="3939"/>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43</v>
      </c>
      <c r="B199" s="6" t="s">
        <v>1279</v>
      </c>
      <c r="C199" s="77"/>
      <c r="D199" s="77"/>
      <c r="E199" s="77"/>
      <c r="F199" s="77"/>
      <c r="G199" s="77"/>
      <c r="H199" s="77"/>
      <c r="I199" s="77"/>
      <c r="J199" s="77"/>
      <c r="K199" s="77"/>
      <c r="L199" s="77"/>
      <c r="M199" s="77"/>
      <c r="N199" s="77"/>
      <c r="O199" s="77"/>
      <c r="P199" s="77"/>
      <c r="Q199" s="77"/>
      <c r="R199" s="77"/>
      <c r="S199" s="6" t="s">
        <v>791</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1280</v>
      </c>
      <c r="C201" s="48"/>
      <c r="D201" s="48"/>
      <c r="E201" s="48"/>
      <c r="F201" s="48"/>
      <c r="G201" s="48"/>
      <c r="H201" s="4001">
        <f>'Part VI-Pro Forma'!B10*M59</f>
        <v>16133.28</v>
      </c>
      <c r="I201" s="4001"/>
      <c r="J201" s="947" t="s">
        <v>1281</v>
      </c>
      <c r="M201" s="48"/>
      <c r="N201" s="48"/>
      <c r="O201" s="48"/>
      <c r="P201" s="2751">
        <f>IF(M59=0,0,H201/M59)</f>
        <v>0.02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1282</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 customHeight="1">
      <c r="A204" s="77"/>
      <c r="B204" s="512" t="s">
        <v>1283</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1284</v>
      </c>
      <c r="C205" s="48"/>
      <c r="D205" s="48"/>
      <c r="E205" s="48"/>
      <c r="F205" s="48"/>
      <c r="G205" s="77"/>
      <c r="H205" s="2752"/>
      <c r="I205" s="2752"/>
      <c r="J205" s="2752"/>
      <c r="K205" s="2752"/>
      <c r="L205" s="2752"/>
      <c r="M205" s="2752"/>
      <c r="N205" s="2752"/>
      <c r="O205" s="2752"/>
      <c r="P205" s="2752"/>
      <c r="Q205" s="2752"/>
      <c r="R205" s="2370"/>
      <c r="S205" s="3920"/>
      <c r="T205" s="3921"/>
      <c r="U205" s="3921"/>
      <c r="V205" s="3921"/>
      <c r="W205" s="3922"/>
      <c r="OZ205" s="1799">
        <v>201</v>
      </c>
    </row>
    <row r="206" spans="1:528" ht="15.6" customHeight="1">
      <c r="A206" s="77"/>
      <c r="B206" s="48" t="s">
        <v>435</v>
      </c>
      <c r="C206" s="3942"/>
      <c r="D206" s="3943"/>
      <c r="E206" s="3943"/>
      <c r="F206" s="3944"/>
      <c r="G206" s="77"/>
      <c r="H206" s="515"/>
      <c r="I206" s="515"/>
      <c r="J206" s="515"/>
      <c r="K206" s="515"/>
      <c r="L206" s="516"/>
      <c r="M206" s="515"/>
      <c r="N206" s="515"/>
      <c r="O206" s="515"/>
      <c r="P206" s="515"/>
      <c r="Q206" s="515"/>
      <c r="R206" s="2370"/>
      <c r="S206" s="3916"/>
      <c r="T206" s="3917"/>
      <c r="U206" s="3917"/>
      <c r="V206" s="3917"/>
      <c r="W206" s="3918"/>
      <c r="OZ206" s="1799">
        <v>202</v>
      </c>
    </row>
    <row r="207" spans="1:528" ht="15.6" customHeight="1">
      <c r="A207" s="77"/>
      <c r="B207" s="48"/>
      <c r="C207" s="48" t="s">
        <v>1285</v>
      </c>
      <c r="D207" s="48"/>
      <c r="E207" s="48"/>
      <c r="F207" s="48"/>
      <c r="G207" s="77"/>
      <c r="H207" s="2753">
        <f>SUM(H205:H206)</f>
        <v>0</v>
      </c>
      <c r="I207" s="2753">
        <f>SUM(I205:I206)</f>
        <v>0</v>
      </c>
      <c r="J207" s="2753">
        <f t="shared" ref="J207:Q207" si="686">SUM(J205:J206)</f>
        <v>0</v>
      </c>
      <c r="K207" s="2753">
        <f t="shared" si="686"/>
        <v>0</v>
      </c>
      <c r="L207" s="2753">
        <f t="shared" si="686"/>
        <v>0</v>
      </c>
      <c r="M207" s="2753">
        <f t="shared" si="686"/>
        <v>0</v>
      </c>
      <c r="N207" s="2753">
        <f t="shared" si="686"/>
        <v>0</v>
      </c>
      <c r="O207" s="2753">
        <f t="shared" si="686"/>
        <v>0</v>
      </c>
      <c r="P207" s="2753">
        <f t="shared" si="686"/>
        <v>0</v>
      </c>
      <c r="Q207" s="2753">
        <f t="shared" si="686"/>
        <v>0</v>
      </c>
      <c r="R207" s="320"/>
      <c r="S207" s="3913"/>
      <c r="T207" s="3914"/>
      <c r="U207" s="3914"/>
      <c r="V207" s="3914"/>
      <c r="W207" s="3915"/>
      <c r="OY207" s="1796"/>
      <c r="OZ207" s="1801">
        <v>203</v>
      </c>
    </row>
    <row r="208" spans="1:528" ht="15.6" customHeight="1">
      <c r="A208" s="77"/>
      <c r="B208" s="517" t="s">
        <v>1286</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1287</v>
      </c>
      <c r="C209" s="48"/>
      <c r="D209" s="48"/>
      <c r="E209" s="48"/>
      <c r="F209" s="48"/>
      <c r="G209" s="77"/>
      <c r="H209" s="2752"/>
      <c r="I209" s="2752"/>
      <c r="J209" s="2752"/>
      <c r="K209" s="2752"/>
      <c r="L209" s="2752"/>
      <c r="M209" s="2752"/>
      <c r="N209" s="2752"/>
      <c r="O209" s="2752"/>
      <c r="P209" s="2752"/>
      <c r="Q209" s="2752"/>
      <c r="R209" s="2370"/>
      <c r="S209" s="3920"/>
      <c r="T209" s="3921"/>
      <c r="U209" s="3921"/>
      <c r="V209" s="3921"/>
      <c r="W209" s="3922"/>
      <c r="OZ209" s="1798">
        <v>205</v>
      </c>
    </row>
    <row r="210" spans="1:528" ht="15.6" customHeight="1">
      <c r="A210" s="77"/>
      <c r="B210" s="48" t="s">
        <v>435</v>
      </c>
      <c r="C210" s="3942"/>
      <c r="D210" s="3943"/>
      <c r="E210" s="3943"/>
      <c r="F210" s="3944"/>
      <c r="G210" s="77"/>
      <c r="H210" s="515"/>
      <c r="I210" s="515"/>
      <c r="J210" s="515"/>
      <c r="K210" s="515"/>
      <c r="L210" s="516"/>
      <c r="M210" s="515"/>
      <c r="N210" s="515"/>
      <c r="O210" s="515"/>
      <c r="P210" s="515"/>
      <c r="Q210" s="515"/>
      <c r="R210" s="2370"/>
      <c r="S210" s="3916"/>
      <c r="T210" s="3917"/>
      <c r="U210" s="3917"/>
      <c r="V210" s="3917"/>
      <c r="W210" s="3918"/>
      <c r="OZ210" s="1799">
        <v>206</v>
      </c>
    </row>
    <row r="211" spans="1:528" ht="15.6" customHeight="1">
      <c r="A211" s="77"/>
      <c r="B211" s="48"/>
      <c r="C211" s="48" t="s">
        <v>1288</v>
      </c>
      <c r="D211" s="48"/>
      <c r="E211" s="48"/>
      <c r="F211" s="48"/>
      <c r="G211" s="77"/>
      <c r="H211" s="2753">
        <f>SUM(H209:H210)</f>
        <v>0</v>
      </c>
      <c r="I211" s="2753">
        <f>SUM(I209:I210)</f>
        <v>0</v>
      </c>
      <c r="J211" s="2753">
        <f t="shared" ref="J211:Q211" si="687">SUM(J209:J210)</f>
        <v>0</v>
      </c>
      <c r="K211" s="2753">
        <f t="shared" si="687"/>
        <v>0</v>
      </c>
      <c r="L211" s="2753">
        <f t="shared" si="687"/>
        <v>0</v>
      </c>
      <c r="M211" s="2753">
        <f t="shared" si="687"/>
        <v>0</v>
      </c>
      <c r="N211" s="2753">
        <f t="shared" si="687"/>
        <v>0</v>
      </c>
      <c r="O211" s="2753">
        <f t="shared" si="687"/>
        <v>0</v>
      </c>
      <c r="P211" s="2753">
        <f t="shared" si="687"/>
        <v>0</v>
      </c>
      <c r="Q211" s="2753">
        <f t="shared" si="687"/>
        <v>0</v>
      </c>
      <c r="R211" s="320"/>
      <c r="S211" s="3913"/>
      <c r="T211" s="3914"/>
      <c r="U211" s="3914"/>
      <c r="V211" s="3914"/>
      <c r="W211" s="3915"/>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1283</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1289</v>
      </c>
      <c r="T213" s="43" t="str">
        <f>B213</f>
        <v>Included in Mgt Fee:</v>
      </c>
      <c r="OZ213" s="1799">
        <v>209</v>
      </c>
    </row>
    <row r="214" spans="1:528" ht="15.6" customHeight="1">
      <c r="A214" s="35"/>
      <c r="B214" s="48" t="s">
        <v>1284</v>
      </c>
      <c r="C214" s="48"/>
      <c r="D214" s="48"/>
      <c r="E214" s="48"/>
      <c r="F214" s="48"/>
      <c r="G214" s="77"/>
      <c r="H214" s="2752"/>
      <c r="I214" s="2752"/>
      <c r="J214" s="2752"/>
      <c r="K214" s="2752"/>
      <c r="L214" s="2754"/>
      <c r="M214" s="2752"/>
      <c r="N214" s="2752"/>
      <c r="O214" s="2752"/>
      <c r="P214" s="2752"/>
      <c r="Q214" s="2752"/>
      <c r="R214" s="2370"/>
      <c r="S214" s="3920"/>
      <c r="T214" s="3921"/>
      <c r="U214" s="3921"/>
      <c r="V214" s="3921"/>
      <c r="W214" s="3922"/>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435</v>
      </c>
      <c r="C215" s="3942"/>
      <c r="D215" s="3943"/>
      <c r="E215" s="3943"/>
      <c r="F215" s="3944"/>
      <c r="G215" s="77"/>
      <c r="H215" s="515"/>
      <c r="I215" s="515"/>
      <c r="J215" s="515"/>
      <c r="K215" s="515"/>
      <c r="L215" s="516"/>
      <c r="M215" s="515"/>
      <c r="N215" s="515"/>
      <c r="O215" s="515"/>
      <c r="P215" s="515"/>
      <c r="Q215" s="515"/>
      <c r="R215" s="2370"/>
      <c r="S215" s="3916"/>
      <c r="T215" s="3917"/>
      <c r="U215" s="3917"/>
      <c r="V215" s="3917"/>
      <c r="W215" s="3918"/>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1285</v>
      </c>
      <c r="D216" s="48"/>
      <c r="E216" s="48"/>
      <c r="F216" s="48"/>
      <c r="G216" s="77"/>
      <c r="H216" s="2753">
        <f>SUM(H214:H215)</f>
        <v>0</v>
      </c>
      <c r="I216" s="2753">
        <f>SUM(I214:I215)</f>
        <v>0</v>
      </c>
      <c r="J216" s="2753">
        <f t="shared" ref="J216:Q216" si="688">SUM(J214:J215)</f>
        <v>0</v>
      </c>
      <c r="K216" s="2753">
        <f t="shared" si="688"/>
        <v>0</v>
      </c>
      <c r="L216" s="2753">
        <f t="shared" si="688"/>
        <v>0</v>
      </c>
      <c r="M216" s="2753">
        <f t="shared" si="688"/>
        <v>0</v>
      </c>
      <c r="N216" s="2753">
        <f t="shared" si="688"/>
        <v>0</v>
      </c>
      <c r="O216" s="2753">
        <f t="shared" si="688"/>
        <v>0</v>
      </c>
      <c r="P216" s="2753">
        <f t="shared" si="688"/>
        <v>0</v>
      </c>
      <c r="Q216" s="2753">
        <f t="shared" si="688"/>
        <v>0</v>
      </c>
      <c r="R216" s="320"/>
      <c r="S216" s="3913"/>
      <c r="T216" s="3914"/>
      <c r="U216" s="3914"/>
      <c r="V216" s="3914"/>
      <c r="W216" s="3915"/>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1286</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1287</v>
      </c>
      <c r="C218" s="48"/>
      <c r="D218" s="48"/>
      <c r="E218" s="48"/>
      <c r="F218" s="48"/>
      <c r="G218" s="77"/>
      <c r="H218" s="2752"/>
      <c r="I218" s="2752"/>
      <c r="J218" s="2752"/>
      <c r="K218" s="2752"/>
      <c r="L218" s="2754"/>
      <c r="M218" s="2752"/>
      <c r="N218" s="2752"/>
      <c r="O218" s="2752"/>
      <c r="P218" s="2752"/>
      <c r="Q218" s="2752"/>
      <c r="R218" s="2370"/>
      <c r="S218" s="3920"/>
      <c r="T218" s="3921"/>
      <c r="U218" s="3921"/>
      <c r="V218" s="3921"/>
      <c r="W218" s="3922"/>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435</v>
      </c>
      <c r="C219" s="3942"/>
      <c r="D219" s="3943"/>
      <c r="E219" s="3943"/>
      <c r="F219" s="3944"/>
      <c r="G219" s="77"/>
      <c r="H219" s="515"/>
      <c r="I219" s="515"/>
      <c r="J219" s="515"/>
      <c r="K219" s="515"/>
      <c r="L219" s="516"/>
      <c r="M219" s="515"/>
      <c r="N219" s="515"/>
      <c r="O219" s="515"/>
      <c r="P219" s="515"/>
      <c r="Q219" s="515"/>
      <c r="R219" s="2370"/>
      <c r="S219" s="3916"/>
      <c r="T219" s="3917"/>
      <c r="U219" s="3917"/>
      <c r="V219" s="3917"/>
      <c r="W219" s="3918"/>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1288</v>
      </c>
      <c r="D220" s="48"/>
      <c r="E220" s="48"/>
      <c r="F220" s="48"/>
      <c r="G220" s="77"/>
      <c r="H220" s="2753">
        <f>SUM(H218:H219)</f>
        <v>0</v>
      </c>
      <c r="I220" s="2753">
        <f>SUM(I218:I219)</f>
        <v>0</v>
      </c>
      <c r="J220" s="2753">
        <f t="shared" ref="J220:Q220" si="689">SUM(J218:J219)</f>
        <v>0</v>
      </c>
      <c r="K220" s="2753">
        <f t="shared" si="689"/>
        <v>0</v>
      </c>
      <c r="L220" s="2753">
        <f t="shared" si="689"/>
        <v>0</v>
      </c>
      <c r="M220" s="2753">
        <f t="shared" si="689"/>
        <v>0</v>
      </c>
      <c r="N220" s="2753">
        <f t="shared" si="689"/>
        <v>0</v>
      </c>
      <c r="O220" s="2753">
        <f t="shared" si="689"/>
        <v>0</v>
      </c>
      <c r="P220" s="2753">
        <f t="shared" si="689"/>
        <v>0</v>
      </c>
      <c r="Q220" s="2753">
        <f t="shared" si="689"/>
        <v>0</v>
      </c>
      <c r="R220" s="320"/>
      <c r="S220" s="3913"/>
      <c r="T220" s="3914"/>
      <c r="U220" s="3914"/>
      <c r="V220" s="3914"/>
      <c r="W220" s="3915"/>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1283</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1290</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1284</v>
      </c>
      <c r="C223" s="48"/>
      <c r="D223" s="48"/>
      <c r="E223" s="48"/>
      <c r="F223" s="48"/>
      <c r="G223" s="77"/>
      <c r="H223" s="2752"/>
      <c r="I223" s="2752"/>
      <c r="J223" s="2752"/>
      <c r="K223" s="2752"/>
      <c r="L223" s="2754"/>
      <c r="M223" s="2752"/>
      <c r="N223" s="2752"/>
      <c r="O223" s="2752"/>
      <c r="P223" s="2752"/>
      <c r="Q223" s="2752"/>
      <c r="R223" s="2370"/>
      <c r="S223" s="3920"/>
      <c r="T223" s="3921"/>
      <c r="U223" s="3921"/>
      <c r="V223" s="3921"/>
      <c r="W223" s="3922"/>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435</v>
      </c>
      <c r="C224" s="3942"/>
      <c r="D224" s="3943"/>
      <c r="E224" s="3943"/>
      <c r="F224" s="3944"/>
      <c r="G224" s="77"/>
      <c r="H224" s="515"/>
      <c r="I224" s="515"/>
      <c r="J224" s="515"/>
      <c r="K224" s="515"/>
      <c r="L224" s="516"/>
      <c r="M224" s="515"/>
      <c r="N224" s="515"/>
      <c r="O224" s="515"/>
      <c r="P224" s="515"/>
      <c r="Q224" s="515"/>
      <c r="R224" s="2370"/>
      <c r="S224" s="3916"/>
      <c r="T224" s="3917"/>
      <c r="U224" s="3917"/>
      <c r="V224" s="3917"/>
      <c r="W224" s="3918"/>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1285</v>
      </c>
      <c r="D225" s="48"/>
      <c r="E225" s="48"/>
      <c r="F225" s="48"/>
      <c r="G225" s="77"/>
      <c r="H225" s="2753">
        <f>SUM(H223:H224)</f>
        <v>0</v>
      </c>
      <c r="I225" s="2753">
        <f>SUM(I223:I224)</f>
        <v>0</v>
      </c>
      <c r="J225" s="2753">
        <f t="shared" ref="J225:Q225" si="690">SUM(J223:J224)</f>
        <v>0</v>
      </c>
      <c r="K225" s="2753">
        <f t="shared" si="690"/>
        <v>0</v>
      </c>
      <c r="L225" s="2753">
        <f t="shared" si="690"/>
        <v>0</v>
      </c>
      <c r="M225" s="2753">
        <f t="shared" si="690"/>
        <v>0</v>
      </c>
      <c r="N225" s="2753">
        <f t="shared" si="690"/>
        <v>0</v>
      </c>
      <c r="O225" s="2753">
        <f t="shared" si="690"/>
        <v>0</v>
      </c>
      <c r="P225" s="2753">
        <f t="shared" si="690"/>
        <v>0</v>
      </c>
      <c r="Q225" s="2753">
        <f t="shared" si="690"/>
        <v>0</v>
      </c>
      <c r="R225" s="320"/>
      <c r="S225" s="3913"/>
      <c r="T225" s="3914"/>
      <c r="U225" s="3914"/>
      <c r="V225" s="3914"/>
      <c r="W225" s="3915"/>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1286</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1287</v>
      </c>
      <c r="C227" s="48"/>
      <c r="D227" s="48"/>
      <c r="E227" s="48"/>
      <c r="F227" s="48"/>
      <c r="G227" s="77"/>
      <c r="H227" s="2752"/>
      <c r="I227" s="2752"/>
      <c r="J227" s="2752"/>
      <c r="K227" s="2752"/>
      <c r="L227" s="2754"/>
      <c r="M227" s="2752"/>
      <c r="N227" s="2752"/>
      <c r="O227" s="2752"/>
      <c r="P227" s="2752"/>
      <c r="Q227" s="2752"/>
      <c r="R227" s="2370"/>
      <c r="S227" s="3920"/>
      <c r="T227" s="3921"/>
      <c r="U227" s="3921"/>
      <c r="V227" s="3921"/>
      <c r="W227" s="3922"/>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435</v>
      </c>
      <c r="C228" s="3942"/>
      <c r="D228" s="3943"/>
      <c r="E228" s="3943"/>
      <c r="F228" s="3944"/>
      <c r="G228" s="77"/>
      <c r="H228" s="515"/>
      <c r="I228" s="515"/>
      <c r="J228" s="515"/>
      <c r="K228" s="515"/>
      <c r="L228" s="516"/>
      <c r="M228" s="515"/>
      <c r="N228" s="515"/>
      <c r="O228" s="515"/>
      <c r="P228" s="515"/>
      <c r="Q228" s="515"/>
      <c r="R228" s="2370"/>
      <c r="S228" s="3916"/>
      <c r="T228" s="3917"/>
      <c r="U228" s="3917"/>
      <c r="V228" s="3917"/>
      <c r="W228" s="3918"/>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1288</v>
      </c>
      <c r="D229" s="48"/>
      <c r="E229" s="48"/>
      <c r="F229" s="48"/>
      <c r="G229" s="77"/>
      <c r="H229" s="2753">
        <f>SUM(H227:H228)</f>
        <v>0</v>
      </c>
      <c r="I229" s="2753">
        <f>SUM(I227:I228)</f>
        <v>0</v>
      </c>
      <c r="J229" s="2753">
        <f t="shared" ref="J229:Q229" si="691">SUM(J227:J228)</f>
        <v>0</v>
      </c>
      <c r="K229" s="2753">
        <f t="shared" si="691"/>
        <v>0</v>
      </c>
      <c r="L229" s="2753">
        <f t="shared" si="691"/>
        <v>0</v>
      </c>
      <c r="M229" s="2753">
        <f t="shared" si="691"/>
        <v>0</v>
      </c>
      <c r="N229" s="2753">
        <f t="shared" si="691"/>
        <v>0</v>
      </c>
      <c r="O229" s="2753">
        <f t="shared" si="691"/>
        <v>0</v>
      </c>
      <c r="P229" s="2753">
        <f t="shared" si="691"/>
        <v>0</v>
      </c>
      <c r="Q229" s="2753">
        <f t="shared" si="691"/>
        <v>0</v>
      </c>
      <c r="R229" s="320"/>
      <c r="S229" s="3913"/>
      <c r="T229" s="3914"/>
      <c r="U229" s="3914"/>
      <c r="V229" s="3914"/>
      <c r="W229" s="3915"/>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1283</v>
      </c>
      <c r="C231" s="40"/>
      <c r="D231" s="40"/>
      <c r="E231" s="40"/>
      <c r="F231" s="40"/>
      <c r="G231" s="77"/>
      <c r="H231" s="513">
        <v>31</v>
      </c>
      <c r="I231" s="513">
        <v>32</v>
      </c>
      <c r="J231" s="513">
        <v>33</v>
      </c>
      <c r="K231" s="513">
        <v>34</v>
      </c>
      <c r="L231" s="513">
        <v>35</v>
      </c>
      <c r="M231" s="40"/>
      <c r="N231" s="40"/>
      <c r="O231" s="40"/>
      <c r="P231" s="40"/>
      <c r="Q231" s="40"/>
      <c r="S231" s="72" t="s">
        <v>1290</v>
      </c>
      <c r="T231" s="43" t="str">
        <f>B231</f>
        <v>Included in Mgt Fee:</v>
      </c>
      <c r="OZ231" s="1798">
        <v>227</v>
      </c>
    </row>
    <row r="232" spans="1:528" ht="15.6" customHeight="1">
      <c r="A232" s="77"/>
      <c r="B232" s="48" t="s">
        <v>1284</v>
      </c>
      <c r="C232" s="48"/>
      <c r="D232" s="48"/>
      <c r="E232" s="48"/>
      <c r="F232" s="48"/>
      <c r="G232" s="77"/>
      <c r="H232" s="2752"/>
      <c r="I232" s="2752"/>
      <c r="J232" s="2752"/>
      <c r="K232" s="2752"/>
      <c r="L232" s="2754"/>
      <c r="M232" s="40"/>
      <c r="N232" s="40"/>
      <c r="O232" s="40"/>
      <c r="P232" s="40"/>
      <c r="Q232" s="40"/>
      <c r="R232" s="77"/>
      <c r="S232" s="3920"/>
      <c r="T232" s="3921"/>
      <c r="U232" s="3921"/>
      <c r="V232" s="3921"/>
      <c r="W232" s="3922"/>
      <c r="OZ232" s="1799">
        <v>228</v>
      </c>
    </row>
    <row r="233" spans="1:528" ht="15.6" customHeight="1">
      <c r="A233" s="77"/>
      <c r="B233" s="48" t="s">
        <v>435</v>
      </c>
      <c r="C233" s="3942"/>
      <c r="D233" s="3943"/>
      <c r="E233" s="3943"/>
      <c r="F233" s="3944"/>
      <c r="G233" s="77"/>
      <c r="H233" s="515"/>
      <c r="I233" s="515"/>
      <c r="J233" s="515"/>
      <c r="K233" s="515"/>
      <c r="L233" s="516"/>
      <c r="M233" s="40"/>
      <c r="N233" s="40"/>
      <c r="O233" s="40"/>
      <c r="P233" s="40"/>
      <c r="Q233" s="40"/>
      <c r="R233" s="77"/>
      <c r="S233" s="3916"/>
      <c r="T233" s="3917"/>
      <c r="U233" s="3917"/>
      <c r="V233" s="3917"/>
      <c r="W233" s="3918"/>
      <c r="OZ233" s="1799">
        <v>229</v>
      </c>
    </row>
    <row r="234" spans="1:528" ht="15.6" customHeight="1">
      <c r="A234" s="77"/>
      <c r="B234" s="48"/>
      <c r="C234" s="48" t="s">
        <v>1285</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913"/>
      <c r="T234" s="3914"/>
      <c r="U234" s="3914"/>
      <c r="V234" s="3914"/>
      <c r="W234" s="3915"/>
      <c r="OZ234" s="1799">
        <v>230</v>
      </c>
    </row>
    <row r="235" spans="1:528" ht="15.6" customHeight="1">
      <c r="A235" s="77"/>
      <c r="B235" s="517" t="s">
        <v>1286</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1287</v>
      </c>
      <c r="C236" s="48"/>
      <c r="D236" s="48"/>
      <c r="E236" s="48"/>
      <c r="F236" s="48"/>
      <c r="G236" s="77"/>
      <c r="H236" s="2752"/>
      <c r="I236" s="2752"/>
      <c r="J236" s="2752"/>
      <c r="K236" s="2752"/>
      <c r="L236" s="2754"/>
      <c r="M236" s="40"/>
      <c r="N236" s="40"/>
      <c r="O236" s="40"/>
      <c r="P236" s="40"/>
      <c r="Q236" s="40"/>
      <c r="R236" s="77"/>
      <c r="S236" s="3920"/>
      <c r="T236" s="3921"/>
      <c r="U236" s="3921"/>
      <c r="V236" s="3921"/>
      <c r="W236" s="3922"/>
      <c r="OZ236" s="1799">
        <v>232</v>
      </c>
    </row>
    <row r="237" spans="1:528" ht="15.6" customHeight="1">
      <c r="A237" s="77"/>
      <c r="B237" s="48" t="s">
        <v>435</v>
      </c>
      <c r="C237" s="3942"/>
      <c r="D237" s="3943"/>
      <c r="E237" s="3943"/>
      <c r="F237" s="3944"/>
      <c r="G237" s="77"/>
      <c r="H237" s="515"/>
      <c r="I237" s="515"/>
      <c r="J237" s="515"/>
      <c r="K237" s="515"/>
      <c r="L237" s="516"/>
      <c r="M237" s="40"/>
      <c r="N237" s="40"/>
      <c r="O237" s="40"/>
      <c r="P237" s="40"/>
      <c r="Q237" s="40"/>
      <c r="R237" s="77"/>
      <c r="S237" s="3916"/>
      <c r="T237" s="3917"/>
      <c r="U237" s="3917"/>
      <c r="V237" s="3917"/>
      <c r="W237" s="3918"/>
      <c r="OZ237" s="1801">
        <v>233</v>
      </c>
    </row>
    <row r="238" spans="1:528" ht="15.6" customHeight="1">
      <c r="A238" s="77"/>
      <c r="B238" s="48"/>
      <c r="C238" s="48" t="s">
        <v>1288</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913"/>
      <c r="T238" s="3914"/>
      <c r="U238" s="3914"/>
      <c r="V238" s="3914"/>
      <c r="W238" s="3915"/>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57</v>
      </c>
      <c r="B240" s="2521" t="s">
        <v>1291</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791</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1292</v>
      </c>
      <c r="C242" s="43"/>
      <c r="D242" s="43"/>
      <c r="E242" s="43"/>
      <c r="F242"/>
      <c r="G242"/>
      <c r="H242" s="1779" t="s">
        <v>679</v>
      </c>
      <c r="I242" s="3" t="s">
        <v>1293</v>
      </c>
      <c r="K242" s="43"/>
      <c r="L242" s="43"/>
      <c r="M242" s="43"/>
      <c r="N242" s="1779" t="s">
        <v>679</v>
      </c>
      <c r="O242" s="3" t="s">
        <v>1294</v>
      </c>
      <c r="P242" s="43"/>
      <c r="Q242" s="2372">
        <f>IF(OR('Part VI-Pro Forma'!$B$22 = "Choose Mgt Fee",'Part VI-Pro Forma'!$B$22 = "Choose One!"), 0,- 'Part VI-Pro Forma'!$B$22)</f>
        <v>38260</v>
      </c>
      <c r="R242" s="43"/>
      <c r="S242" s="3920"/>
      <c r="T242" s="3921"/>
      <c r="U242" s="3921"/>
      <c r="V242" s="3921"/>
      <c r="W242" s="3922"/>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1295</v>
      </c>
      <c r="C243" s="43"/>
      <c r="D243" s="43"/>
      <c r="E243" s="43"/>
      <c r="F243" s="3945">
        <v>60000</v>
      </c>
      <c r="G243" s="3946"/>
      <c r="H243" s="1778">
        <f>IF(OR(F243="",F243=0),"",F243/$E$58)</f>
        <v>1000</v>
      </c>
      <c r="I243" s="43" t="s">
        <v>1296</v>
      </c>
      <c r="K243" s="43"/>
      <c r="L243" s="3945"/>
      <c r="M243" s="3946"/>
      <c r="N243" s="1778" t="str">
        <f>IF(OR(L243="",L243=0),"",L243/$E$58)</f>
        <v/>
      </c>
      <c r="O243" s="219">
        <f>+Q242/(P76*0.93)</f>
        <v>685.66308243727599</v>
      </c>
      <c r="P243" s="23" t="s">
        <v>1297</v>
      </c>
      <c r="Q243" s="43"/>
      <c r="R243" s="2370"/>
      <c r="S243" s="3916"/>
      <c r="T243" s="3917"/>
      <c r="U243" s="3917"/>
      <c r="V243" s="3917"/>
      <c r="W243" s="3918"/>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1298</v>
      </c>
      <c r="C244" s="43"/>
      <c r="D244" s="43"/>
      <c r="E244" s="43"/>
      <c r="F244" s="3950">
        <v>30000</v>
      </c>
      <c r="G244" s="3951"/>
      <c r="H244" s="1778">
        <f t="shared" ref="H244:H249" si="692">IF(OR(F244="",F244=0),"",F244/$E$58)</f>
        <v>500</v>
      </c>
      <c r="I244" s="43" t="s">
        <v>1299</v>
      </c>
      <c r="K244" s="43"/>
      <c r="L244" s="3952">
        <v>5000</v>
      </c>
      <c r="M244" s="3953"/>
      <c r="N244" s="1778">
        <f t="shared" ref="N244:N245" si="693">IF(OR(L244="",L244=0),"",L244/$E$58)</f>
        <v>83.333333333333329</v>
      </c>
      <c r="O244" s="219">
        <f>+Q242/(P76*0.93)/12</f>
        <v>57.138590203106332</v>
      </c>
      <c r="P244" s="23" t="s">
        <v>1300</v>
      </c>
      <c r="Q244" s="43"/>
      <c r="R244" s="2370"/>
      <c r="S244" s="3916"/>
      <c r="T244" s="3917"/>
      <c r="U244" s="3917"/>
      <c r="V244" s="3917"/>
      <c r="W244" s="3918"/>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1301</v>
      </c>
      <c r="C245" s="43"/>
      <c r="D245" s="43"/>
      <c r="E245" s="43"/>
      <c r="F245" s="3950"/>
      <c r="G245" s="3951"/>
      <c r="H245" s="1778" t="str">
        <f t="shared" si="692"/>
        <v/>
      </c>
      <c r="I245" s="43"/>
      <c r="K245" s="5" t="s">
        <v>531</v>
      </c>
      <c r="L245" s="3954">
        <f>SUM(L243:M244)</f>
        <v>5000</v>
      </c>
      <c r="M245" s="3955"/>
      <c r="N245" s="1778">
        <f t="shared" si="693"/>
        <v>83.333333333333329</v>
      </c>
      <c r="O245" s="13" t="s">
        <v>1302</v>
      </c>
      <c r="P245" s="68"/>
      <c r="Q245" s="68"/>
      <c r="R245" s="2370"/>
      <c r="S245" s="3916"/>
      <c r="T245" s="3917"/>
      <c r="U245" s="3917"/>
      <c r="V245" s="3917"/>
      <c r="W245" s="3918"/>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1303</v>
      </c>
      <c r="F246" s="3950"/>
      <c r="G246" s="3951"/>
      <c r="H246" s="1778" t="str">
        <f t="shared" si="692"/>
        <v/>
      </c>
      <c r="I246" s="43"/>
      <c r="K246" s="43"/>
      <c r="L246" s="43"/>
      <c r="M246" s="43"/>
      <c r="N246" s="43"/>
      <c r="R246" s="2369"/>
      <c r="S246" s="3916"/>
      <c r="T246" s="3917"/>
      <c r="U246" s="3917"/>
      <c r="V246" s="3917"/>
      <c r="W246" s="3918"/>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1304</v>
      </c>
      <c r="F247" s="3950"/>
      <c r="G247" s="3951"/>
      <c r="H247" s="1778" t="str">
        <f t="shared" si="692"/>
        <v/>
      </c>
      <c r="I247" s="43"/>
      <c r="K247" s="43"/>
      <c r="L247" s="43"/>
      <c r="M247" s="43"/>
      <c r="N247" s="43"/>
      <c r="R247" s="2369"/>
      <c r="S247" s="3916"/>
      <c r="T247" s="3917"/>
      <c r="U247" s="3917"/>
      <c r="V247" s="3917"/>
      <c r="W247" s="3918"/>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947" t="s">
        <v>1305</v>
      </c>
      <c r="C248" s="3948"/>
      <c r="D248" s="3948"/>
      <c r="E248" s="3949"/>
      <c r="F248" s="3952"/>
      <c r="G248" s="3953"/>
      <c r="H248" s="1778" t="str">
        <f t="shared" si="692"/>
        <v/>
      </c>
      <c r="I248" s="3" t="s">
        <v>1306</v>
      </c>
      <c r="K248" s="43"/>
      <c r="L248" s="43"/>
      <c r="M248" s="43"/>
      <c r="N248" s="43"/>
      <c r="R248" s="2369"/>
      <c r="S248" s="3916"/>
      <c r="T248" s="3917"/>
      <c r="U248" s="3917"/>
      <c r="V248" s="3917"/>
      <c r="W248" s="3918"/>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531</v>
      </c>
      <c r="F249" s="3954">
        <f>SUM(F243:G248)</f>
        <v>90000</v>
      </c>
      <c r="G249" s="3955"/>
      <c r="H249" s="1778">
        <f t="shared" si="692"/>
        <v>1500</v>
      </c>
      <c r="I249" s="43" t="s">
        <v>1307</v>
      </c>
      <c r="K249" s="43"/>
      <c r="L249" s="3958">
        <v>1000</v>
      </c>
      <c r="M249" s="3959"/>
      <c r="N249" s="1778">
        <f>IF(OR(L249="",L249=0),"",L249/$E$58)</f>
        <v>16.666666666666668</v>
      </c>
      <c r="R249" s="43"/>
      <c r="S249" s="3916"/>
      <c r="T249" s="3917"/>
      <c r="U249" s="3917"/>
      <c r="V249" s="3917"/>
      <c r="W249" s="3918"/>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606</v>
      </c>
      <c r="K250" s="43"/>
      <c r="L250" s="3956">
        <v>10000</v>
      </c>
      <c r="M250" s="3957"/>
      <c r="N250" s="1778">
        <f t="shared" ref="N250:N253" si="694">IF(OR(L250="",L250=0),"",L250/$E$58)</f>
        <v>166.66666666666666</v>
      </c>
      <c r="O250" s="3" t="s">
        <v>1308</v>
      </c>
      <c r="P250" s="43"/>
      <c r="Q250" s="2374">
        <f>F249+F258+F269+L245+L253+L263+L269+Q242</f>
        <v>360260</v>
      </c>
      <c r="R250" s="43"/>
      <c r="S250" s="3916"/>
      <c r="T250" s="3917"/>
      <c r="U250" s="3917"/>
      <c r="V250" s="3917"/>
      <c r="W250" s="3918"/>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1309</v>
      </c>
      <c r="C251" s="43"/>
      <c r="D251" s="2375"/>
      <c r="E251" s="43"/>
      <c r="F251" s="43"/>
      <c r="G251" s="43"/>
      <c r="H251" s="43"/>
      <c r="I251" s="43" t="s">
        <v>1310</v>
      </c>
      <c r="K251" s="43"/>
      <c r="L251" s="3956">
        <v>1000</v>
      </c>
      <c r="M251" s="3957"/>
      <c r="N251" s="1778">
        <f t="shared" si="694"/>
        <v>16.666666666666668</v>
      </c>
      <c r="O251" s="23" t="s">
        <v>1311</v>
      </c>
      <c r="P251" s="219">
        <f>+Q250/P76</f>
        <v>6004.333333333333</v>
      </c>
      <c r="R251" s="2376"/>
      <c r="S251" s="3916"/>
      <c r="T251" s="3917"/>
      <c r="U251" s="3917"/>
      <c r="V251" s="3917"/>
      <c r="W251" s="3918"/>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1312</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1313</v>
      </c>
      <c r="C252" s="43"/>
      <c r="D252" s="2375"/>
      <c r="E252" s="43"/>
      <c r="F252" s="3945">
        <v>1900</v>
      </c>
      <c r="G252" s="3946"/>
      <c r="H252" s="1778">
        <f>IF(OR(F252="",F252=0),"",F252/$E$58)</f>
        <v>31.666666666666668</v>
      </c>
      <c r="I252" s="3962" t="s">
        <v>1305</v>
      </c>
      <c r="J252" s="3963"/>
      <c r="K252" s="3964"/>
      <c r="L252" s="3960"/>
      <c r="M252" s="3961"/>
      <c r="N252" s="1778" t="str">
        <f t="shared" si="694"/>
        <v/>
      </c>
      <c r="P252" s="551" t="s">
        <v>1314</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270000</v>
      </c>
      <c r="R252" s="43"/>
      <c r="S252" s="3916"/>
      <c r="T252" s="3917"/>
      <c r="U252" s="3917"/>
      <c r="V252" s="3917"/>
      <c r="W252" s="3918"/>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1315</v>
      </c>
      <c r="C253" s="43"/>
      <c r="D253" s="2375"/>
      <c r="E253" s="43"/>
      <c r="F253" s="3950">
        <v>4000</v>
      </c>
      <c r="G253" s="3951"/>
      <c r="H253" s="1778">
        <f t="shared" ref="H253:H258" si="695">IF(OR(F253="",F253=0),"",F253/$E$58)</f>
        <v>66.666666666666671</v>
      </c>
      <c r="I253" s="3"/>
      <c r="K253" s="5" t="s">
        <v>531</v>
      </c>
      <c r="L253" s="3965">
        <f>SUM(L249:L252)</f>
        <v>12000</v>
      </c>
      <c r="M253" s="3966"/>
      <c r="N253" s="1778">
        <f t="shared" si="694"/>
        <v>200</v>
      </c>
      <c r="O253" s="3967" t="s">
        <v>1316</v>
      </c>
      <c r="P253" s="3967"/>
      <c r="Q253" s="3967"/>
      <c r="R253" s="43"/>
      <c r="S253" s="3916"/>
      <c r="T253" s="3917"/>
      <c r="U253" s="3917"/>
      <c r="V253" s="3917"/>
      <c r="W253" s="3918"/>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1317</v>
      </c>
      <c r="C254" s="43"/>
      <c r="D254" s="2375"/>
      <c r="E254" s="43"/>
      <c r="F254" s="3950"/>
      <c r="G254" s="3951"/>
      <c r="H254" s="1778" t="str">
        <f t="shared" si="695"/>
        <v/>
      </c>
      <c r="N254" s="43"/>
      <c r="O254" s="3967"/>
      <c r="P254" s="3967"/>
      <c r="Q254" s="3967"/>
      <c r="R254" s="2590"/>
      <c r="S254" s="3916"/>
      <c r="T254" s="3917"/>
      <c r="U254" s="3917"/>
      <c r="V254" s="3917"/>
      <c r="W254" s="3918"/>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1318</v>
      </c>
      <c r="C255" s="43"/>
      <c r="D255" s="2375"/>
      <c r="E255" s="43"/>
      <c r="F255" s="3950"/>
      <c r="G255" s="3951"/>
      <c r="H255" s="1778" t="str">
        <f t="shared" si="695"/>
        <v/>
      </c>
      <c r="M255" s="43"/>
      <c r="N255" s="43"/>
      <c r="R255" s="2590"/>
      <c r="S255" s="3916"/>
      <c r="T255" s="3917"/>
      <c r="U255" s="3917"/>
      <c r="V255" s="3917"/>
      <c r="W255" s="3918"/>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1319</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1320</v>
      </c>
      <c r="C256" s="43"/>
      <c r="D256" s="2375"/>
      <c r="E256" s="43"/>
      <c r="F256" s="3950">
        <v>1000</v>
      </c>
      <c r="G256" s="3951"/>
      <c r="H256" s="1778">
        <f t="shared" si="695"/>
        <v>16.666666666666668</v>
      </c>
      <c r="I256" s="3" t="s">
        <v>1321</v>
      </c>
      <c r="K256" s="2517" t="s">
        <v>1322</v>
      </c>
      <c r="L256" s="43"/>
      <c r="O256" s="892" t="s">
        <v>1323</v>
      </c>
      <c r="P256" s="3"/>
      <c r="Q256" s="2377">
        <f>Q265</f>
        <v>18000</v>
      </c>
      <c r="S256" s="3916"/>
      <c r="T256" s="3917"/>
      <c r="U256" s="3917"/>
      <c r="V256" s="3917"/>
      <c r="W256" s="3918"/>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947" t="s">
        <v>7717</v>
      </c>
      <c r="C257" s="3948"/>
      <c r="D257" s="3948"/>
      <c r="E257" s="3949"/>
      <c r="F257" s="3952">
        <v>8000</v>
      </c>
      <c r="G257" s="3953"/>
      <c r="H257" s="1778">
        <f t="shared" si="695"/>
        <v>133.33333333333334</v>
      </c>
      <c r="I257" s="43" t="s">
        <v>1324</v>
      </c>
      <c r="K257" s="258">
        <f>L257/12/P76</f>
        <v>20.833333333333332</v>
      </c>
      <c r="L257" s="3958">
        <v>15000</v>
      </c>
      <c r="M257" s="3959"/>
      <c r="N257" s="1778">
        <f>IF(OR(L257="",L257=0),"",L257/$E$58)</f>
        <v>250</v>
      </c>
      <c r="O257" s="564" t="s">
        <v>1325</v>
      </c>
      <c r="P257" s="2365"/>
      <c r="Q257" s="565">
        <f>Q256/P265</f>
        <v>300</v>
      </c>
      <c r="R257" s="4003" t="str">
        <f>IF(Q256&lt;Q265, "WARNING! RR proposed is below the DCA required minimum.","")</f>
        <v/>
      </c>
      <c r="S257" s="3916"/>
      <c r="T257" s="3917"/>
      <c r="U257" s="3917"/>
      <c r="V257" s="3917"/>
      <c r="W257" s="3918"/>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531</v>
      </c>
      <c r="F258" s="3954">
        <f>SUM(F252:G257)</f>
        <v>14900</v>
      </c>
      <c r="G258" s="3955"/>
      <c r="H258" s="1778">
        <f t="shared" si="695"/>
        <v>248.33333333333334</v>
      </c>
      <c r="I258" s="43" t="s">
        <v>1326</v>
      </c>
      <c r="K258" s="258">
        <f>L258/12/P76</f>
        <v>0</v>
      </c>
      <c r="L258" s="3956"/>
      <c r="M258" s="3957"/>
      <c r="N258" s="1778" t="str">
        <f t="shared" ref="N258:N263" si="696">IF(OR(L258="",L258=0),"",L258/$E$58)</f>
        <v/>
      </c>
      <c r="O258" s="4005" t="s">
        <v>1327</v>
      </c>
      <c r="P258" s="4006"/>
      <c r="Q258" s="4007"/>
      <c r="R258" s="4004"/>
      <c r="S258" s="3916"/>
      <c r="T258" s="3917"/>
      <c r="U258" s="3917"/>
      <c r="V258" s="3917"/>
      <c r="W258" s="3918"/>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1328</v>
      </c>
      <c r="K259" s="258">
        <f>L259/12/P76</f>
        <v>6.9444444444444446</v>
      </c>
      <c r="L259" s="3956">
        <v>5000</v>
      </c>
      <c r="M259" s="3957"/>
      <c r="N259" s="1778">
        <f t="shared" si="696"/>
        <v>83.333333333333329</v>
      </c>
      <c r="O259" s="559" t="s">
        <v>1329</v>
      </c>
      <c r="P259" s="492" t="s">
        <v>1330</v>
      </c>
      <c r="Q259" s="560" t="s">
        <v>1331</v>
      </c>
      <c r="R259" s="4004"/>
      <c r="S259" s="3916"/>
      <c r="T259" s="3917"/>
      <c r="U259" s="3917"/>
      <c r="V259" s="3917"/>
      <c r="W259" s="3918"/>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603</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1332</v>
      </c>
      <c r="C260" s="43"/>
      <c r="D260" s="2375"/>
      <c r="E260" s="43"/>
      <c r="F260" s="43"/>
      <c r="G260" s="43"/>
      <c r="H260" s="43"/>
      <c r="I260" s="43" t="s">
        <v>1333</v>
      </c>
      <c r="K260" s="258">
        <f>L260/12/P76</f>
        <v>10.416666666666666</v>
      </c>
      <c r="L260" s="3956">
        <v>7500</v>
      </c>
      <c r="M260" s="3957"/>
      <c r="N260" s="1778">
        <f t="shared" si="696"/>
        <v>125</v>
      </c>
      <c r="O260" s="352" t="s">
        <v>648</v>
      </c>
      <c r="Q260" s="353"/>
      <c r="R260" s="4004"/>
      <c r="S260" s="3916"/>
      <c r="T260" s="3917"/>
      <c r="U260" s="3917"/>
      <c r="V260" s="3917"/>
      <c r="W260" s="3918"/>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1334</v>
      </c>
      <c r="C261" s="43"/>
      <c r="D261" s="2375"/>
      <c r="E261" s="43"/>
      <c r="F261" s="3973">
        <v>6000</v>
      </c>
      <c r="G261" s="3974"/>
      <c r="H261" s="1778">
        <f>IF(OR(F261="",F261=0),"",F261/$E$58)</f>
        <v>100</v>
      </c>
      <c r="I261" s="43" t="s">
        <v>1335</v>
      </c>
      <c r="K261" s="258">
        <f>L261/12/P76</f>
        <v>2.7777777777777777</v>
      </c>
      <c r="L261" s="3956">
        <v>2000</v>
      </c>
      <c r="M261" s="3957"/>
      <c r="N261" s="1778">
        <f t="shared" si="696"/>
        <v>33.333333333333336</v>
      </c>
      <c r="O261" s="277" t="s">
        <v>1336</v>
      </c>
      <c r="P261" s="494" t="str">
        <f>CONCATENATE(SUM(NO58:NS58)," units x $",'DCA Underwriting Assumptions'!$Q$41," =")</f>
        <v>0 units x $400 =</v>
      </c>
      <c r="Q261" s="354">
        <f>SUM(NO58:NS58)*'DCA Underwriting Assumptions'!$Q$41</f>
        <v>0</v>
      </c>
      <c r="R261" s="4004"/>
      <c r="S261" s="3916"/>
      <c r="T261" s="3917"/>
      <c r="U261" s="3917"/>
      <c r="V261" s="3917"/>
      <c r="W261" s="3918"/>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1337</v>
      </c>
      <c r="C262" s="43"/>
      <c r="D262" s="2375"/>
      <c r="E262" s="43"/>
      <c r="F262" s="3971">
        <v>9000</v>
      </c>
      <c r="G262" s="3972"/>
      <c r="H262" s="1778">
        <f t="shared" ref="H262:H269" si="697">IF(OR(F262="",F262=0),"",F262/$E$58)</f>
        <v>150</v>
      </c>
      <c r="I262" s="4008" t="s">
        <v>1305</v>
      </c>
      <c r="J262" s="4009"/>
      <c r="K262" s="258">
        <f>L262/12/P76</f>
        <v>0</v>
      </c>
      <c r="L262" s="3960"/>
      <c r="M262" s="3961"/>
      <c r="N262" s="1778" t="str">
        <f t="shared" si="696"/>
        <v/>
      </c>
      <c r="O262" s="277" t="s">
        <v>1338</v>
      </c>
      <c r="P262" s="494" t="str">
        <f>CONCATENATE(SUM(NT58:NX58)," units x $",'DCA Underwriting Assumptions'!$Q$42," =")</f>
        <v>60 units x $300 =</v>
      </c>
      <c r="Q262" s="354">
        <f>SUM(NT58:NX58)*'DCA Underwriting Assumptions'!$Q$42</f>
        <v>18000</v>
      </c>
      <c r="R262" s="4004"/>
      <c r="S262" s="3916"/>
      <c r="T262" s="3917"/>
      <c r="U262" s="3917"/>
      <c r="V262" s="3917"/>
      <c r="W262" s="3918"/>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1339</v>
      </c>
      <c r="C263" s="43"/>
      <c r="D263" s="2375"/>
      <c r="E263" s="43"/>
      <c r="F263" s="3971">
        <v>16000</v>
      </c>
      <c r="G263" s="3972"/>
      <c r="H263" s="1778">
        <f t="shared" si="697"/>
        <v>266.66666666666669</v>
      </c>
      <c r="K263" s="5" t="s">
        <v>531</v>
      </c>
      <c r="L263" s="3965">
        <f>SUM(L257:L262)</f>
        <v>29500</v>
      </c>
      <c r="M263" s="3966"/>
      <c r="N263" s="1778">
        <f t="shared" si="696"/>
        <v>491.66666666666669</v>
      </c>
      <c r="O263" s="355" t="s">
        <v>1340</v>
      </c>
      <c r="P263" s="494" t="str">
        <f>CONCATENATE(SUM(NY58:OC58)," units x $",'DCA Underwriting Assumptions'!$Q$43," =")</f>
        <v>0 units x $470 =</v>
      </c>
      <c r="Q263" s="354">
        <f>SUM(NY58:OC58)*'DCA Underwriting Assumptions'!$Q$43</f>
        <v>0</v>
      </c>
      <c r="R263" s="4004"/>
      <c r="S263" s="3916"/>
      <c r="T263" s="3917"/>
      <c r="U263" s="3917"/>
      <c r="V263" s="3917"/>
      <c r="W263" s="3918"/>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1341</v>
      </c>
      <c r="C264" s="43"/>
      <c r="D264" s="2375"/>
      <c r="E264" s="43"/>
      <c r="F264" s="3950">
        <v>3500</v>
      </c>
      <c r="G264" s="3951"/>
      <c r="H264" s="1778">
        <f t="shared" si="697"/>
        <v>58.333333333333336</v>
      </c>
      <c r="O264" s="355" t="s">
        <v>1342</v>
      </c>
      <c r="P264" s="494" t="str">
        <f>CONCATENATE(P143," units x $",'DCA Underwriting Assumptions'!$Q$44," =")</f>
        <v>0 units x $420 =</v>
      </c>
      <c r="Q264" s="354">
        <f>P143*'DCA Underwriting Assumptions'!$Q$44</f>
        <v>0</v>
      </c>
      <c r="S264" s="3916"/>
      <c r="T264" s="3917"/>
      <c r="U264" s="3917"/>
      <c r="V264" s="3917"/>
      <c r="W264" s="3918"/>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1343</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1344</v>
      </c>
      <c r="C265" s="43"/>
      <c r="D265" s="2375"/>
      <c r="E265" s="43"/>
      <c r="F265" s="3950">
        <v>1500</v>
      </c>
      <c r="G265" s="3951"/>
      <c r="H265" s="1778">
        <f t="shared" si="697"/>
        <v>25</v>
      </c>
      <c r="I265" s="3" t="s">
        <v>1345</v>
      </c>
      <c r="O265" s="561" t="s">
        <v>1346</v>
      </c>
      <c r="P265" s="562">
        <f>SUM(NO58:NS58)+SUM(NT58:NX58)+SUM(NY58:OC58)+P143</f>
        <v>60</v>
      </c>
      <c r="Q265" s="563">
        <f>SUM(Q261:Q264)</f>
        <v>18000</v>
      </c>
      <c r="R265" s="494"/>
      <c r="S265" s="3916"/>
      <c r="T265" s="3917"/>
      <c r="U265" s="3917"/>
      <c r="V265" s="3917"/>
      <c r="W265" s="3918"/>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1347</v>
      </c>
      <c r="C266" s="43"/>
      <c r="D266" s="2375"/>
      <c r="E266" s="43"/>
      <c r="F266" s="3950">
        <v>6000</v>
      </c>
      <c r="G266" s="3951"/>
      <c r="H266" s="1778">
        <f t="shared" si="697"/>
        <v>100</v>
      </c>
      <c r="I266" s="43" t="s">
        <v>1348</v>
      </c>
      <c r="K266" s="43"/>
      <c r="L266" s="3958">
        <v>88600</v>
      </c>
      <c r="M266" s="3959"/>
      <c r="N266" s="1778">
        <f t="shared" ref="N266:N269" si="698">IF(OR(L266="",L266=0),"",L266/$E$58)</f>
        <v>1476.6666666666667</v>
      </c>
      <c r="O266" s="4027" t="str">
        <f>IF(L266+L267='Part III-A-Uses of Funds'!$G$132,"", CONCATENATE("Real Estate Taxes and Insurance Reserves from Development Budget = $:",'Part III-A-Uses of Funds'!$G$132))</f>
        <v/>
      </c>
      <c r="P266" s="4027"/>
      <c r="Q266" s="4027"/>
      <c r="R266" s="494"/>
      <c r="S266" s="3916"/>
      <c r="T266" s="3917"/>
      <c r="U266" s="3917"/>
      <c r="V266" s="3917"/>
      <c r="W266" s="3918"/>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1349</v>
      </c>
      <c r="C267" s="43"/>
      <c r="D267" s="2375"/>
      <c r="E267" s="43"/>
      <c r="F267" s="3950">
        <v>1000</v>
      </c>
      <c r="G267" s="3951"/>
      <c r="H267" s="1778">
        <f t="shared" si="697"/>
        <v>16.666666666666668</v>
      </c>
      <c r="I267" s="43" t="s">
        <v>1350</v>
      </c>
      <c r="K267" s="43"/>
      <c r="L267" s="3956">
        <v>39000</v>
      </c>
      <c r="M267" s="3957"/>
      <c r="N267" s="1778">
        <f t="shared" si="698"/>
        <v>650</v>
      </c>
      <c r="O267" s="4028"/>
      <c r="P267" s="4028"/>
      <c r="Q267" s="4028"/>
      <c r="R267" s="494"/>
      <c r="S267" s="3916"/>
      <c r="T267" s="3917"/>
      <c r="U267" s="3917"/>
      <c r="V267" s="3917"/>
      <c r="W267" s="3918"/>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947" t="s">
        <v>1305</v>
      </c>
      <c r="C268" s="3948"/>
      <c r="D268" s="3948"/>
      <c r="E268" s="3949"/>
      <c r="F268" s="3952"/>
      <c r="G268" s="3953"/>
      <c r="H268" s="1778" t="str">
        <f t="shared" si="697"/>
        <v/>
      </c>
      <c r="I268" s="3962" t="s">
        <v>1305</v>
      </c>
      <c r="J268" s="3963"/>
      <c r="K268" s="3964"/>
      <c r="L268" s="3969"/>
      <c r="M268" s="3970"/>
      <c r="N268" s="1778" t="str">
        <f t="shared" si="698"/>
        <v/>
      </c>
      <c r="O268" s="4028"/>
      <c r="P268" s="4028"/>
      <c r="Q268" s="4028"/>
      <c r="R268" s="494"/>
      <c r="S268" s="3916"/>
      <c r="T268" s="3917"/>
      <c r="U268" s="3917"/>
      <c r="V268" s="3917"/>
      <c r="W268" s="3918"/>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1351</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531</v>
      </c>
      <c r="F269" s="4015">
        <f>SUM(F261:G268)</f>
        <v>43000</v>
      </c>
      <c r="G269" s="4016"/>
      <c r="H269" s="1778">
        <f t="shared" si="697"/>
        <v>716.66666666666663</v>
      </c>
      <c r="K269" s="5" t="s">
        <v>531</v>
      </c>
      <c r="L269" s="3965">
        <f>SUM(L265:L268)</f>
        <v>127600</v>
      </c>
      <c r="M269" s="3966"/>
      <c r="N269" s="1778">
        <f t="shared" si="698"/>
        <v>2126.6666666666665</v>
      </c>
      <c r="O269" s="3" t="s">
        <v>1352</v>
      </c>
      <c r="P269" s="43"/>
      <c r="Q269" s="2374">
        <f>Q250+Q256</f>
        <v>378260</v>
      </c>
      <c r="R269" s="494"/>
      <c r="S269" s="3913"/>
      <c r="T269" s="3914"/>
      <c r="U269" s="3914"/>
      <c r="V269" s="3914"/>
      <c r="W269" s="3915"/>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1353</v>
      </c>
      <c r="B273" s="3" t="s">
        <v>1354</v>
      </c>
      <c r="C273" s="5"/>
      <c r="D273" s="43"/>
      <c r="E273" s="43"/>
      <c r="H273" s="2373"/>
      <c r="R273" s="2369"/>
      <c r="S273" s="4010"/>
      <c r="T273" s="4011"/>
      <c r="U273" s="4011"/>
      <c r="V273" s="4011"/>
      <c r="W273" s="4012"/>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1355</v>
      </c>
      <c r="C275" s="5"/>
      <c r="D275" s="43"/>
      <c r="E275" s="43"/>
      <c r="F275" s="4017"/>
      <c r="G275" s="4018"/>
      <c r="H275" s="43"/>
      <c r="I275" s="878" t="s">
        <v>1356</v>
      </c>
      <c r="J275" s="43"/>
      <c r="K275" s="2373"/>
      <c r="L275" s="4017"/>
      <c r="M275" s="4018"/>
      <c r="N275" s="43"/>
      <c r="O275" s="3" t="s">
        <v>1357</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1358</v>
      </c>
      <c r="C277" s="5"/>
      <c r="D277" s="43"/>
      <c r="E277" s="43"/>
      <c r="F277" s="2373"/>
      <c r="G277" s="2373"/>
      <c r="H277" s="43"/>
      <c r="I277" s="43"/>
      <c r="L277" s="4023" t="s">
        <v>720</v>
      </c>
      <c r="M277" s="4024"/>
      <c r="P277" s="43"/>
      <c r="R277" s="2369"/>
      <c r="S277" s="4010"/>
      <c r="T277" s="4011"/>
      <c r="U277" s="4011"/>
      <c r="V277" s="4011"/>
      <c r="W277" s="4012"/>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1359</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1360</v>
      </c>
      <c r="K278" s="2373"/>
      <c r="L278" s="4021" t="s">
        <v>720</v>
      </c>
      <c r="M278" s="4022"/>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1361</v>
      </c>
      <c r="K279" s="2373"/>
      <c r="L279" s="4019"/>
      <c r="M279" s="4020"/>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1362</v>
      </c>
      <c r="K280" s="2373"/>
      <c r="L280" s="4025"/>
      <c r="M280" s="4026"/>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1363</v>
      </c>
      <c r="B282" s="6" t="s">
        <v>67</v>
      </c>
      <c r="C282" s="77"/>
      <c r="D282" s="77"/>
      <c r="E282" s="77"/>
      <c r="F282" s="77"/>
      <c r="G282" s="77"/>
      <c r="H282" s="77"/>
      <c r="I282" s="77"/>
      <c r="J282" s="77"/>
      <c r="K282" s="77"/>
      <c r="L282" s="77"/>
      <c r="M282" s="77"/>
      <c r="N282" s="6" t="s">
        <v>1364</v>
      </c>
      <c r="O282" s="6"/>
      <c r="P282" s="77"/>
      <c r="OY282" s="1796"/>
      <c r="OZ282" s="1798">
        <v>278</v>
      </c>
    </row>
    <row r="283" spans="1:528" ht="409.5" customHeight="1">
      <c r="A283" s="4013" t="s">
        <v>1365</v>
      </c>
      <c r="B283" s="4013"/>
      <c r="C283" s="4013"/>
      <c r="D283" s="4013"/>
      <c r="E283" s="4013"/>
      <c r="F283" s="4013"/>
      <c r="G283" s="4013"/>
      <c r="H283" s="4013"/>
      <c r="I283" s="4013"/>
      <c r="J283" s="4013"/>
      <c r="K283" s="4013"/>
      <c r="L283" s="4013"/>
      <c r="M283" s="4013"/>
      <c r="N283" s="4014"/>
      <c r="O283" s="4014"/>
      <c r="P283" s="4014"/>
      <c r="Q283" s="4014"/>
      <c r="R283" s="3419" t="s">
        <v>1366</v>
      </c>
      <c r="S283" s="3379"/>
      <c r="T283" s="3379"/>
      <c r="U283" s="3379"/>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MH9:MH10"/>
    <mergeCell ref="MI9:MI10"/>
    <mergeCell ref="MJ9:MJ10"/>
    <mergeCell ref="MK9:MK10"/>
    <mergeCell ref="ML9:ML10"/>
    <mergeCell ref="MM9:MM10"/>
    <mergeCell ref="LV9:LV10"/>
    <mergeCell ref="LW9:LW10"/>
    <mergeCell ref="LX9:LX10"/>
    <mergeCell ref="LY9:LY10"/>
    <mergeCell ref="LZ9:LZ10"/>
    <mergeCell ref="MA9:MA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L257:M257"/>
    <mergeCell ref="L252:M252"/>
    <mergeCell ref="S252:W252"/>
    <mergeCell ref="F253:G253"/>
    <mergeCell ref="S253:W253"/>
    <mergeCell ref="F254:G254"/>
    <mergeCell ref="S254:W254"/>
    <mergeCell ref="I252:K252"/>
    <mergeCell ref="L253:M253"/>
    <mergeCell ref="O253:Q254"/>
    <mergeCell ref="S249:W249"/>
    <mergeCell ref="L250:M250"/>
    <mergeCell ref="S250:W250"/>
    <mergeCell ref="L251:M251"/>
    <mergeCell ref="S251:W251"/>
    <mergeCell ref="F252:G252"/>
    <mergeCell ref="F247:G247"/>
    <mergeCell ref="S247:W247"/>
    <mergeCell ref="F248:G248"/>
    <mergeCell ref="S248:W248"/>
    <mergeCell ref="F249:G249"/>
    <mergeCell ref="B248:E248"/>
    <mergeCell ref="F244:G244"/>
    <mergeCell ref="L244:M244"/>
    <mergeCell ref="S244:W244"/>
    <mergeCell ref="F245:G245"/>
    <mergeCell ref="S245:W245"/>
    <mergeCell ref="F246:G246"/>
    <mergeCell ref="S246:W246"/>
    <mergeCell ref="L245:M245"/>
    <mergeCell ref="S237:W237"/>
    <mergeCell ref="S242:W242"/>
    <mergeCell ref="F243:G243"/>
    <mergeCell ref="L243:M243"/>
    <mergeCell ref="S243:W243"/>
    <mergeCell ref="C237:F237"/>
    <mergeCell ref="S238:W238"/>
    <mergeCell ref="S232:W232"/>
    <mergeCell ref="S233:W233"/>
    <mergeCell ref="S236:W236"/>
    <mergeCell ref="C233:F233"/>
    <mergeCell ref="S234:W234"/>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16:W216"/>
    <mergeCell ref="S205:W205"/>
    <mergeCell ref="S206:W206"/>
    <mergeCell ref="S209:W209"/>
    <mergeCell ref="S187:W187"/>
    <mergeCell ref="S188:W188"/>
    <mergeCell ref="S189:W189"/>
    <mergeCell ref="K195:L195"/>
    <mergeCell ref="S190:W190"/>
    <mergeCell ref="K197:L197"/>
    <mergeCell ref="K196:L196"/>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69:W69"/>
    <mergeCell ref="S70:W70"/>
    <mergeCell ref="S71:W71"/>
    <mergeCell ref="S72:W72"/>
    <mergeCell ref="S73:W73"/>
    <mergeCell ref="S74:W74"/>
    <mergeCell ref="O62:P62"/>
    <mergeCell ref="S65:W65"/>
    <mergeCell ref="S66:W66"/>
    <mergeCell ref="S67:W67"/>
    <mergeCell ref="S68:W68"/>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T37:W37"/>
    <mergeCell ref="T38:W38"/>
    <mergeCell ref="T39:W39"/>
    <mergeCell ref="T28:W28"/>
    <mergeCell ref="T29:W29"/>
    <mergeCell ref="T30:W30"/>
    <mergeCell ref="T31:W31"/>
    <mergeCell ref="T32:W32"/>
    <mergeCell ref="T33:W33"/>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F57" sqref="F57:F58"/>
    </sheetView>
  </sheetViews>
  <sheetFormatPr defaultColWidth="8.85546875" defaultRowHeight="12.75"/>
  <cols>
    <col min="1" max="1" width="22.140625" style="4" customWidth="1"/>
    <col min="2" max="11" width="12" style="4" customWidth="1"/>
    <col min="12" max="13" width="2.140625" style="4" customWidth="1"/>
    <col min="14" max="14" width="19.140625" style="4" customWidth="1"/>
    <col min="15" max="15" width="83" style="4" customWidth="1"/>
    <col min="16" max="16" width="8.85546875" style="4"/>
    <col min="17" max="17" width="5.140625" style="4" customWidth="1"/>
    <col min="18" max="18" width="12.140625" style="4" customWidth="1"/>
    <col min="19" max="19" width="12.42578125" style="4" customWidth="1"/>
    <col min="20" max="25" width="8.85546875" style="4"/>
    <col min="26" max="26" width="10.85546875" style="1794" bestFit="1" customWidth="1"/>
    <col min="27" max="27" width="8.85546875" style="1795"/>
    <col min="28" max="16384" width="8.85546875" style="4"/>
  </cols>
  <sheetData>
    <row r="1" spans="1:27" s="1166" customFormat="1" hidden="1">
      <c r="B1" s="1166" t="s">
        <v>1367</v>
      </c>
      <c r="C1" s="1166" t="s">
        <v>1368</v>
      </c>
      <c r="D1" s="1166" t="s">
        <v>1369</v>
      </c>
      <c r="E1" s="1166" t="s">
        <v>1370</v>
      </c>
      <c r="F1" s="1166" t="s">
        <v>1371</v>
      </c>
      <c r="G1" s="1166" t="s">
        <v>1372</v>
      </c>
      <c r="H1" s="1166" t="s">
        <v>1373</v>
      </c>
      <c r="I1" s="1166" t="s">
        <v>1374</v>
      </c>
      <c r="J1" s="1166" t="s">
        <v>1375</v>
      </c>
      <c r="K1" s="1166" t="s">
        <v>1376</v>
      </c>
      <c r="Z1" s="1794"/>
      <c r="AA1" s="1795">
        <v>1</v>
      </c>
    </row>
    <row r="2" spans="1:27" ht="14.1" customHeight="1">
      <c r="A2" s="4029" t="str">
        <f>CONCATENATE("PART SIX - OPERATING PRO FORMA","  -  ",'Part I-Project Identification'!$O$7," ",'Part I-Project Identification'!$F$27,", ",'Part I-Project Identification'!F28,", ",'Part I-Project Identification'!J28," County")</f>
        <v>PART SIX - OPERATING PRO FORMA  -  2026-0xx Westchester Village II, Jonesboro, Clayton County</v>
      </c>
      <c r="B2" s="4030"/>
      <c r="C2" s="4030"/>
      <c r="D2" s="4030"/>
      <c r="E2" s="4030"/>
      <c r="F2" s="4030"/>
      <c r="G2" s="4030"/>
      <c r="H2" s="4030"/>
      <c r="I2" s="4030"/>
      <c r="J2" s="4030"/>
      <c r="K2" s="4031"/>
      <c r="L2" s="3"/>
      <c r="M2" s="3"/>
      <c r="N2" s="4032" t="str">
        <f>A2</f>
        <v>PART SIX - OPERATING PRO FORMA  -  2026-0xx Westchester Village II, Jonesboro, Clayton County</v>
      </c>
      <c r="O2" s="4032"/>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901" t="s">
        <v>791</v>
      </c>
      <c r="O3" s="3901"/>
      <c r="P3" s="77"/>
      <c r="Q3" s="77"/>
      <c r="R3" s="77"/>
      <c r="S3" s="77"/>
      <c r="T3" s="77"/>
      <c r="U3" s="77"/>
      <c r="V3" s="77"/>
      <c r="W3" s="77"/>
      <c r="X3" s="77"/>
      <c r="Y3" s="77"/>
      <c r="AA3" s="1795">
        <v>3</v>
      </c>
    </row>
    <row r="4" spans="1:27" ht="13.5" customHeight="1">
      <c r="A4" s="6" t="s">
        <v>1377</v>
      </c>
      <c r="B4" s="77"/>
      <c r="C4" s="4033" t="str">
        <f>'Part I-Project Identification'!$A$6</f>
        <v>May XX, 2026</v>
      </c>
      <c r="D4" s="675" t="s">
        <v>1378</v>
      </c>
      <c r="E4" s="2756"/>
      <c r="F4" s="676" t="s">
        <v>1379</v>
      </c>
      <c r="G4" s="77"/>
      <c r="H4" s="77"/>
      <c r="I4" s="77"/>
      <c r="J4" s="77"/>
      <c r="K4" s="77"/>
      <c r="L4" s="77"/>
      <c r="M4" s="77"/>
      <c r="N4" s="6" t="str">
        <f>A4</f>
        <v>I.  OPERATING ASSUMPTIONS</v>
      </c>
      <c r="O4" s="6"/>
      <c r="P4" s="77"/>
      <c r="Q4" s="77"/>
      <c r="R4" s="77"/>
      <c r="S4" s="77"/>
      <c r="T4" s="77"/>
      <c r="U4" s="77"/>
      <c r="V4" s="77"/>
      <c r="W4" s="77"/>
      <c r="X4" s="77"/>
      <c r="Y4" s="77"/>
      <c r="AA4" s="1795">
        <v>4</v>
      </c>
    </row>
    <row r="5" spans="1:27" ht="2.85" customHeight="1">
      <c r="A5" s="77"/>
      <c r="B5" s="77"/>
      <c r="C5" s="4034"/>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1380</v>
      </c>
      <c r="B6" s="2379">
        <f>'DCA Underwriting Assumptions'!$Q$115</f>
        <v>0.02</v>
      </c>
      <c r="C6" s="4034"/>
      <c r="D6" s="3924" t="s">
        <v>1381</v>
      </c>
      <c r="E6" s="3924"/>
      <c r="F6" s="3924"/>
      <c r="G6" s="2757">
        <v>7500</v>
      </c>
      <c r="H6" s="509" t="s">
        <v>1382</v>
      </c>
      <c r="I6" s="77"/>
      <c r="J6" s="77"/>
      <c r="K6" s="2380">
        <f>IF(($B$15+$B$16+$B$17+$B$18)=0,"",B31/($B$15+$B$16+$B$17+$B$18))</f>
        <v>-9.8013402876492954E-3</v>
      </c>
      <c r="L6" s="77"/>
      <c r="M6" s="77"/>
      <c r="N6" s="3920"/>
      <c r="O6" s="3922"/>
      <c r="P6" s="77"/>
      <c r="Q6" s="77"/>
      <c r="R6" s="77"/>
      <c r="S6" s="77"/>
      <c r="T6" s="77"/>
      <c r="U6" s="77"/>
      <c r="V6" s="77"/>
      <c r="W6" s="77"/>
      <c r="X6" s="77"/>
      <c r="Y6" s="77"/>
      <c r="AA6" s="1795">
        <v>6</v>
      </c>
    </row>
    <row r="7" spans="1:27">
      <c r="A7" s="77" t="s">
        <v>1383</v>
      </c>
      <c r="B7" s="2379">
        <f>'DCA Underwriting Assumptions'!$Q$118</f>
        <v>0.03</v>
      </c>
      <c r="C7" s="4034"/>
      <c r="D7" s="3924"/>
      <c r="E7" s="3924"/>
      <c r="F7" s="3924"/>
      <c r="G7" s="677">
        <f>IF(OR('Part II-Sources of Funds'!E6="Yes",'Part II-Sources of Funds'!H6&gt;0),'DCA Underwriting Assumptions'!$Q$79,0)</f>
        <v>0</v>
      </c>
      <c r="H7" s="77"/>
      <c r="I7" s="77"/>
      <c r="J7" s="77"/>
      <c r="K7" s="77"/>
      <c r="L7" s="77"/>
      <c r="M7" s="77"/>
      <c r="N7" s="3916"/>
      <c r="O7" s="3918"/>
      <c r="P7" s="77"/>
      <c r="Q7" s="77"/>
      <c r="R7" s="77"/>
      <c r="S7" s="77"/>
      <c r="T7" s="77"/>
      <c r="U7" s="77"/>
      <c r="V7" s="77"/>
      <c r="W7" s="77"/>
      <c r="X7" s="77"/>
      <c r="Y7" s="77"/>
      <c r="AA7" s="1795">
        <v>7</v>
      </c>
    </row>
    <row r="8" spans="1:27">
      <c r="A8" s="77" t="s">
        <v>1384</v>
      </c>
      <c r="B8" s="2379">
        <f>'DCA Underwriting Assumptions'!$Q$119</f>
        <v>0.03</v>
      </c>
      <c r="C8" s="4034"/>
      <c r="D8" s="43" t="s">
        <v>1385</v>
      </c>
      <c r="E8" s="77"/>
      <c r="F8" s="77"/>
      <c r="G8" s="2381"/>
      <c r="H8" s="509" t="s">
        <v>1386</v>
      </c>
      <c r="I8" s="77"/>
      <c r="J8" s="77"/>
      <c r="K8" s="2380">
        <f>IF(($B$15+$B$16+$B$17+$B$18)=0,"",-B22/($B$15+$B$16+$B$17+$B$18))</f>
        <v>4.9999903920728277E-2</v>
      </c>
      <c r="L8" s="77"/>
      <c r="M8" s="77"/>
      <c r="N8" s="3916"/>
      <c r="O8" s="3918"/>
      <c r="P8" s="77"/>
      <c r="Q8" s="77"/>
      <c r="R8" s="77"/>
      <c r="S8" s="77"/>
      <c r="T8" s="77"/>
      <c r="U8" s="77"/>
      <c r="V8" s="77"/>
      <c r="W8" s="77"/>
      <c r="X8" s="77"/>
      <c r="Y8" s="77"/>
      <c r="AA8" s="1795">
        <v>8</v>
      </c>
    </row>
    <row r="9" spans="1:27" ht="13.35" customHeight="1">
      <c r="A9" s="77" t="s">
        <v>1387</v>
      </c>
      <c r="B9" s="2758">
        <v>7.0000000000000007E-2</v>
      </c>
      <c r="C9" s="840" t="str">
        <f>IF(B9&lt;0.07, "Must be &gt;= 7%!","")</f>
        <v/>
      </c>
      <c r="D9" s="43" t="s">
        <v>1388</v>
      </c>
      <c r="E9" s="77"/>
      <c r="F9" s="77"/>
      <c r="G9" s="2759"/>
      <c r="H9" s="2382" t="s">
        <v>1389</v>
      </c>
      <c r="I9" s="77"/>
      <c r="J9" s="77"/>
      <c r="K9" s="2760"/>
      <c r="L9" s="77"/>
      <c r="M9" s="77"/>
      <c r="N9" s="3916"/>
      <c r="O9" s="3918"/>
      <c r="P9" s="77"/>
      <c r="Q9" s="77"/>
      <c r="R9" s="77"/>
      <c r="S9" s="77"/>
      <c r="T9" s="77"/>
      <c r="U9" s="77"/>
      <c r="V9" s="77"/>
      <c r="W9" s="77"/>
      <c r="X9" s="77"/>
      <c r="Y9" s="77"/>
      <c r="AA9" s="1795">
        <v>9</v>
      </c>
    </row>
    <row r="10" spans="1:27">
      <c r="A10" s="77" t="s">
        <v>1390</v>
      </c>
      <c r="B10" s="2379">
        <v>0.02</v>
      </c>
      <c r="C10" s="77"/>
      <c r="D10" s="43" t="s">
        <v>1391</v>
      </c>
      <c r="E10" s="77"/>
      <c r="F10" s="77"/>
      <c r="G10" s="2383" t="s">
        <v>7444</v>
      </c>
      <c r="H10" s="2382" t="s">
        <v>1392</v>
      </c>
      <c r="I10" s="77"/>
      <c r="J10" s="77"/>
      <c r="K10" s="2384">
        <v>0.05</v>
      </c>
      <c r="L10" s="77"/>
      <c r="M10" s="77"/>
      <c r="N10" s="3913"/>
      <c r="O10" s="3915"/>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1393</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85"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85" customHeight="1">
      <c r="A14" s="6" t="s">
        <v>479</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623" t="s">
        <v>1394</v>
      </c>
      <c r="O14" s="3623"/>
      <c r="P14" s="77"/>
      <c r="Q14" s="77"/>
      <c r="R14" s="77"/>
      <c r="S14" s="77"/>
      <c r="T14" s="77"/>
      <c r="U14" s="77"/>
      <c r="V14" s="77"/>
      <c r="W14" s="77"/>
      <c r="X14" s="77"/>
      <c r="Y14" s="77"/>
      <c r="AA14" s="1795">
        <v>14</v>
      </c>
    </row>
    <row r="15" spans="1:27" ht="13.35" customHeight="1">
      <c r="A15" s="2761" t="s">
        <v>1395</v>
      </c>
      <c r="B15" s="2762">
        <f>'Part V-Revenues &amp; Expenses'!$M$59</f>
        <v>806664</v>
      </c>
      <c r="C15" s="2762">
        <f t="shared" ref="C15:K15" si="1">$B$15*(1+$B$6)^(C14-1)</f>
        <v>822797.28</v>
      </c>
      <c r="D15" s="2762">
        <f t="shared" si="1"/>
        <v>839253.22560000001</v>
      </c>
      <c r="E15" s="2762">
        <f t="shared" si="1"/>
        <v>856038.29011199996</v>
      </c>
      <c r="F15" s="2762">
        <f t="shared" si="1"/>
        <v>873159.05591423996</v>
      </c>
      <c r="G15" s="2762">
        <f t="shared" si="1"/>
        <v>890622.23703252478</v>
      </c>
      <c r="H15" s="2762">
        <f t="shared" si="1"/>
        <v>908434.68177317537</v>
      </c>
      <c r="I15" s="2762">
        <f t="shared" si="1"/>
        <v>926603.37540863862</v>
      </c>
      <c r="J15" s="2762">
        <f t="shared" si="1"/>
        <v>945135.44291681156</v>
      </c>
      <c r="K15" s="2763">
        <f t="shared" si="1"/>
        <v>964038.15177514777</v>
      </c>
      <c r="L15" s="77"/>
      <c r="M15" s="77"/>
      <c r="N15" s="3920"/>
      <c r="O15" s="3922"/>
      <c r="P15" s="77"/>
      <c r="Q15" s="77"/>
      <c r="R15" s="77"/>
      <c r="S15" s="4035" t="s">
        <v>1396</v>
      </c>
      <c r="T15" s="77"/>
      <c r="U15" s="77"/>
      <c r="V15" s="77"/>
      <c r="W15" s="77"/>
      <c r="X15" s="77"/>
      <c r="Y15" s="77"/>
      <c r="Z15" s="1794" t="s">
        <v>1397</v>
      </c>
      <c r="AA15" s="1795">
        <v>15</v>
      </c>
    </row>
    <row r="16" spans="1:27" ht="13.35" customHeight="1">
      <c r="A16" s="236" t="s">
        <v>1280</v>
      </c>
      <c r="B16" s="2385">
        <f>MIN(B15*B10,'Part V-Revenues &amp; Expenses'!$H$201)</f>
        <v>16133.28</v>
      </c>
      <c r="C16" s="2385">
        <f t="shared" ref="C16:K16" si="2">$B$16*(1+$B$6)^(C14-1)</f>
        <v>16455.945600000003</v>
      </c>
      <c r="D16" s="2385">
        <f t="shared" si="2"/>
        <v>16785.064512000001</v>
      </c>
      <c r="E16" s="2385">
        <f t="shared" si="2"/>
        <v>17120.765802239999</v>
      </c>
      <c r="F16" s="2385">
        <f t="shared" si="2"/>
        <v>17463.1811182848</v>
      </c>
      <c r="G16" s="2385">
        <f t="shared" si="2"/>
        <v>17812.444740650499</v>
      </c>
      <c r="H16" s="2385">
        <f t="shared" si="2"/>
        <v>18168.693635463507</v>
      </c>
      <c r="I16" s="2385">
        <f t="shared" si="2"/>
        <v>18532.067508172775</v>
      </c>
      <c r="J16" s="2385">
        <f t="shared" si="2"/>
        <v>18902.708858336231</v>
      </c>
      <c r="K16" s="2386">
        <f t="shared" si="2"/>
        <v>19280.763035502954</v>
      </c>
      <c r="L16" s="77"/>
      <c r="M16" s="77"/>
      <c r="N16" s="3916"/>
      <c r="O16" s="3918"/>
      <c r="P16" s="77"/>
      <c r="Q16" s="77"/>
      <c r="R16" s="77"/>
      <c r="S16" s="4036"/>
      <c r="T16" s="77"/>
      <c r="U16" s="77"/>
      <c r="V16" s="77"/>
      <c r="W16" s="77"/>
      <c r="X16" s="77"/>
      <c r="Y16" s="77"/>
      <c r="Z16" s="1794" t="s">
        <v>1397</v>
      </c>
      <c r="AA16" s="1795">
        <v>16</v>
      </c>
    </row>
    <row r="17" spans="1:27" ht="13.35" customHeight="1">
      <c r="A17" s="236" t="s">
        <v>1398</v>
      </c>
      <c r="B17" s="2385">
        <f t="shared" ref="B17:K17" si="3">-(B15+B16)*$B$9</f>
        <v>-57595.809600000008</v>
      </c>
      <c r="C17" s="2385">
        <f t="shared" si="3"/>
        <v>-58747.725792000005</v>
      </c>
      <c r="D17" s="2385">
        <f t="shared" si="3"/>
        <v>-59922.680307840004</v>
      </c>
      <c r="E17" s="2385">
        <f t="shared" si="3"/>
        <v>-61121.133913996804</v>
      </c>
      <c r="F17" s="2385">
        <f t="shared" si="3"/>
        <v>-62343.556592276742</v>
      </c>
      <c r="G17" s="2385">
        <f t="shared" si="3"/>
        <v>-63590.427724122274</v>
      </c>
      <c r="H17" s="2385">
        <f t="shared" si="3"/>
        <v>-64862.236278604723</v>
      </c>
      <c r="I17" s="2385">
        <f t="shared" si="3"/>
        <v>-66159.481004176807</v>
      </c>
      <c r="J17" s="2385">
        <f t="shared" si="3"/>
        <v>-67482.670624260354</v>
      </c>
      <c r="K17" s="2386">
        <f t="shared" si="3"/>
        <v>-68832.324036745558</v>
      </c>
      <c r="L17" s="77"/>
      <c r="M17" s="77"/>
      <c r="N17" s="3916"/>
      <c r="O17" s="3918"/>
      <c r="P17" s="77"/>
      <c r="Q17" s="4038" t="s">
        <v>1399</v>
      </c>
      <c r="R17" s="4038" t="s">
        <v>1400</v>
      </c>
      <c r="S17" s="4036"/>
      <c r="T17" s="77"/>
      <c r="U17" s="77"/>
      <c r="V17" s="77"/>
      <c r="W17" s="77"/>
      <c r="X17" s="77"/>
      <c r="Y17" s="77"/>
      <c r="Z17" s="1794" t="s">
        <v>1397</v>
      </c>
      <c r="AA17" s="1795">
        <v>17</v>
      </c>
    </row>
    <row r="18" spans="1:27" ht="13.35" customHeight="1">
      <c r="A18" s="236" t="s">
        <v>1401</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916"/>
      <c r="O18" s="3918"/>
      <c r="P18" s="77"/>
      <c r="Q18" s="4038"/>
      <c r="R18" s="4038"/>
      <c r="S18" s="4037"/>
      <c r="T18" s="77"/>
      <c r="U18" s="77"/>
      <c r="V18" s="77"/>
      <c r="W18" s="77"/>
      <c r="X18" s="77"/>
      <c r="Y18" s="77"/>
      <c r="Z18" s="1794" t="s">
        <v>1397</v>
      </c>
      <c r="AA18" s="1795">
        <v>18</v>
      </c>
    </row>
    <row r="19" spans="1:27" ht="13.35" customHeight="1">
      <c r="A19" s="236" t="s">
        <v>1402</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916"/>
      <c r="O19" s="3918"/>
      <c r="P19" s="77"/>
      <c r="Q19" s="77"/>
      <c r="R19" s="77"/>
      <c r="S19" s="77"/>
      <c r="T19" s="77"/>
      <c r="U19" s="77"/>
      <c r="V19" s="77"/>
      <c r="W19" s="77"/>
      <c r="X19" s="77"/>
      <c r="Y19" s="77"/>
      <c r="Z19" s="1794" t="s">
        <v>1397</v>
      </c>
      <c r="AA19" s="1795">
        <v>19</v>
      </c>
    </row>
    <row r="20" spans="1:27" ht="13.35" customHeight="1">
      <c r="A20" s="236" t="s">
        <v>1403</v>
      </c>
      <c r="B20" s="2385">
        <f>SUM(B15:B19)</f>
        <v>765201.47039999999</v>
      </c>
      <c r="C20" s="2385">
        <f t="shared" ref="C20:K20" si="4">SUM(C15:C19)</f>
        <v>780505.49980800005</v>
      </c>
      <c r="D20" s="2385">
        <f t="shared" si="4"/>
        <v>796115.60980415996</v>
      </c>
      <c r="E20" s="2385">
        <f t="shared" si="4"/>
        <v>812037.9220002431</v>
      </c>
      <c r="F20" s="2385">
        <f t="shared" si="4"/>
        <v>828278.68044024799</v>
      </c>
      <c r="G20" s="2385">
        <f t="shared" si="4"/>
        <v>844844.25404905295</v>
      </c>
      <c r="H20" s="2385">
        <f t="shared" si="4"/>
        <v>861741.13913003413</v>
      </c>
      <c r="I20" s="2385">
        <f t="shared" si="4"/>
        <v>878975.96191263467</v>
      </c>
      <c r="J20" s="2385">
        <f t="shared" si="4"/>
        <v>896555.48115088744</v>
      </c>
      <c r="K20" s="2386">
        <f t="shared" si="4"/>
        <v>914486.59077390516</v>
      </c>
      <c r="L20" s="77"/>
      <c r="M20" s="77"/>
      <c r="N20" s="3916"/>
      <c r="O20" s="3918"/>
      <c r="P20" s="77"/>
      <c r="Q20" s="77"/>
      <c r="R20" s="77"/>
      <c r="S20" s="77"/>
      <c r="T20" s="77"/>
      <c r="U20" s="77"/>
      <c r="V20" s="77"/>
      <c r="W20" s="77"/>
      <c r="X20" s="77"/>
      <c r="Y20" s="77"/>
      <c r="Z20" s="1794" t="s">
        <v>1397</v>
      </c>
      <c r="AA20" s="1795">
        <v>20</v>
      </c>
    </row>
    <row r="21" spans="1:27" ht="13.35" customHeight="1">
      <c r="A21" s="236" t="s">
        <v>1404</v>
      </c>
      <c r="B21" s="2385">
        <f>-('Part V-Revenues &amp; Expenses'!$Q$250-'Part V-Revenues &amp; Expenses'!$Q$242)</f>
        <v>-322000</v>
      </c>
      <c r="C21" s="2385">
        <f t="shared" ref="C21:K21" si="5">$B$21*(1+$B$7)^(C14-1)</f>
        <v>-331660</v>
      </c>
      <c r="D21" s="2385">
        <f t="shared" si="5"/>
        <v>-341609.8</v>
      </c>
      <c r="E21" s="2385">
        <f t="shared" si="5"/>
        <v>-351858.09399999998</v>
      </c>
      <c r="F21" s="2385">
        <f t="shared" si="5"/>
        <v>-362413.83681999997</v>
      </c>
      <c r="G21" s="2385">
        <f t="shared" si="5"/>
        <v>-373286.25192459993</v>
      </c>
      <c r="H21" s="2385">
        <f t="shared" si="5"/>
        <v>-384484.83948233799</v>
      </c>
      <c r="I21" s="2385">
        <f t="shared" si="5"/>
        <v>-396019.38466680812</v>
      </c>
      <c r="J21" s="2385">
        <f t="shared" si="5"/>
        <v>-407899.96620681236</v>
      </c>
      <c r="K21" s="2386">
        <f t="shared" si="5"/>
        <v>-420136.96519301669</v>
      </c>
      <c r="L21" s="77"/>
      <c r="M21" s="77"/>
      <c r="N21" s="3916"/>
      <c r="O21" s="3918"/>
      <c r="P21" s="77"/>
      <c r="Q21" s="58">
        <v>1</v>
      </c>
      <c r="R21" s="2387">
        <f>-B32</f>
        <v>31503</v>
      </c>
      <c r="S21" s="2387">
        <f>B33+R21</f>
        <v>60884.853417521925</v>
      </c>
      <c r="T21" s="77"/>
      <c r="U21" s="77"/>
      <c r="V21" s="77"/>
      <c r="W21" s="77"/>
      <c r="X21" s="77"/>
      <c r="Y21" s="77"/>
      <c r="Z21" s="1794" t="s">
        <v>1397</v>
      </c>
      <c r="AA21" s="1795">
        <v>21</v>
      </c>
    </row>
    <row r="22" spans="1:27" ht="13.35" customHeight="1">
      <c r="A22" s="236" t="s">
        <v>1405</v>
      </c>
      <c r="B22" s="2385">
        <f>IF(AND('Part VI-Pro Forma'!$G$9="Yes",'Part VI-Pro Forma'!$G$10="Yes"),"Choose One!",IF('Part VI-Pro Forma'!$G$9="Yes",ROUND((-$K$9*(1+'Part VI-Pro Forma'!$B$7)^('Part VI-Pro Forma'!B14-1)),),IF('Part VI-Pro Forma'!$G$10="Yes",ROUND((-(SUM(B15:B18)*'Part VI-Pro Forma'!$K$10)),),"Choose mgt fee")))</f>
        <v>-38260</v>
      </c>
      <c r="C22" s="2385">
        <f>IF(AND('Part VI-Pro Forma'!$G$9="Yes",'Part VI-Pro Forma'!$G$10="Yes"),"Choose One!",IF('Part VI-Pro Forma'!$G$9="Yes",ROUND((-$K$9*(1+'Part VI-Pro Forma'!$B$7)^('Part VI-Pro Forma'!C14-1)),),IF('Part VI-Pro Forma'!$G$10="Yes",ROUND((-(SUM(C15:C18)*'Part VI-Pro Forma'!$K$10)),),"Choose mgt fee")))</f>
        <v>-39025</v>
      </c>
      <c r="D22" s="2385">
        <f>IF(AND('Part VI-Pro Forma'!$G$9="Yes",'Part VI-Pro Forma'!$G$10="Yes"),"Choose One!",IF('Part VI-Pro Forma'!$G$9="Yes",ROUND((-$K$9*(1+'Part VI-Pro Forma'!$B$7)^('Part VI-Pro Forma'!D14-1)),),IF('Part VI-Pro Forma'!$G$10="Yes",ROUND((-(SUM(D15:D18)*'Part VI-Pro Forma'!$K$10)),),"Choose mgt fee")))</f>
        <v>-39806</v>
      </c>
      <c r="E22" s="2385">
        <f>IF(AND('Part VI-Pro Forma'!$G$9="Yes",'Part VI-Pro Forma'!$G$10="Yes"),"Choose One!",IF('Part VI-Pro Forma'!$G$9="Yes",ROUND((-$K$9*(1+'Part VI-Pro Forma'!$B$7)^('Part VI-Pro Forma'!E14-1)),),IF('Part VI-Pro Forma'!$G$10="Yes",ROUND((-(SUM(E15:E18)*'Part VI-Pro Forma'!$K$10)),),"Choose mgt fee")))</f>
        <v>-40602</v>
      </c>
      <c r="F22" s="2385">
        <f>IF(AND('Part VI-Pro Forma'!$G$9="Yes",'Part VI-Pro Forma'!$G$10="Yes"),"Choose One!",IF('Part VI-Pro Forma'!$G$9="Yes",ROUND((-$K$9*(1+'Part VI-Pro Forma'!$B$7)^('Part VI-Pro Forma'!F14-1)),),IF('Part VI-Pro Forma'!$G$10="Yes",ROUND((-(SUM(F15:F18)*'Part VI-Pro Forma'!$K$10)),),"Choose mgt fee")))</f>
        <v>-41414</v>
      </c>
      <c r="G22" s="2385">
        <f>IF(AND('Part VI-Pro Forma'!$G$9="Yes",'Part VI-Pro Forma'!$G$10="Yes"),"Choose One!",IF('Part VI-Pro Forma'!$G$9="Yes",ROUND((-$K$9*(1+'Part VI-Pro Forma'!$B$7)^('Part VI-Pro Forma'!G14-1)),),IF('Part VI-Pro Forma'!$G$10="Yes",ROUND((-(SUM(G15:G18)*'Part VI-Pro Forma'!$K$10)),),"Choose mgt fee")))</f>
        <v>-42242</v>
      </c>
      <c r="H22" s="2385">
        <f>IF(AND('Part VI-Pro Forma'!$G$9="Yes",'Part VI-Pro Forma'!$G$10="Yes"),"Choose One!",IF('Part VI-Pro Forma'!$G$9="Yes",ROUND((-$K$9*(1+'Part VI-Pro Forma'!$B$7)^('Part VI-Pro Forma'!H14-1)),),IF('Part VI-Pro Forma'!$G$10="Yes",ROUND((-(SUM(H15:H18)*'Part VI-Pro Forma'!$K$10)),),"Choose mgt fee")))</f>
        <v>-43087</v>
      </c>
      <c r="I22" s="2385">
        <f>IF(AND('Part VI-Pro Forma'!$G$9="Yes",'Part VI-Pro Forma'!$G$10="Yes"),"Choose One!",IF('Part VI-Pro Forma'!$G$9="Yes",ROUND((-$K$9*(1+'Part VI-Pro Forma'!$B$7)^('Part VI-Pro Forma'!I14-1)),),IF('Part VI-Pro Forma'!$G$10="Yes",ROUND((-(SUM(I15:I18)*'Part VI-Pro Forma'!$K$10)),),"Choose mgt fee")))</f>
        <v>-43949</v>
      </c>
      <c r="J22" s="2385">
        <f>IF(AND('Part VI-Pro Forma'!$G$9="Yes",'Part VI-Pro Forma'!$G$10="Yes"),"Choose One!",IF('Part VI-Pro Forma'!$G$9="Yes",ROUND((-$K$9*(1+'Part VI-Pro Forma'!$B$7)^('Part VI-Pro Forma'!J14-1)),),IF('Part VI-Pro Forma'!$G$10="Yes",ROUND((-(SUM(J15:J18)*'Part VI-Pro Forma'!$K$10)),),"Choose mgt fee")))</f>
        <v>-44828</v>
      </c>
      <c r="K22" s="2386">
        <f>IF(AND('Part VI-Pro Forma'!$G$9="Yes",'Part VI-Pro Forma'!$G$10="Yes"),"Choose One!",IF('Part VI-Pro Forma'!$G$9="Yes",ROUND((-$K$9*(1+'Part VI-Pro Forma'!$B$7)^('Part VI-Pro Forma'!K14-1)),),IF('Part VI-Pro Forma'!$G$10="Yes",ROUND((-(SUM(K15:K18)*'Part VI-Pro Forma'!$K$10)),),"Choose mgt fee")))</f>
        <v>-45724</v>
      </c>
      <c r="L22" s="77"/>
      <c r="M22" s="77"/>
      <c r="N22" s="3916"/>
      <c r="O22" s="3918"/>
      <c r="P22" s="77"/>
      <c r="Q22" s="58">
        <v>2</v>
      </c>
      <c r="R22" s="2387">
        <f>-SUM(B32:C32)</f>
        <v>31503</v>
      </c>
      <c r="S22" s="2387">
        <f>SUM(B33:C33)+R22</f>
        <v>125883.73624304391</v>
      </c>
      <c r="T22" s="77"/>
      <c r="U22" s="77"/>
      <c r="V22" s="77"/>
      <c r="W22" s="77"/>
      <c r="X22" s="77"/>
      <c r="Y22" s="77"/>
      <c r="Z22" s="1794" t="s">
        <v>1397</v>
      </c>
      <c r="AA22" s="1795">
        <v>22</v>
      </c>
    </row>
    <row r="23" spans="1:27" ht="13.35" customHeight="1">
      <c r="A23" s="236" t="s">
        <v>1406</v>
      </c>
      <c r="B23" s="2385">
        <f>-('Part V-Revenues &amp; Expenses'!$Q$256)</f>
        <v>-18000</v>
      </c>
      <c r="C23" s="2385">
        <f t="shared" ref="C23:K23" si="6">$B$23*(1+$B$8)^(C14-1)</f>
        <v>-18540</v>
      </c>
      <c r="D23" s="2385">
        <f t="shared" si="6"/>
        <v>-19096.2</v>
      </c>
      <c r="E23" s="2385">
        <f t="shared" si="6"/>
        <v>-19669.085999999999</v>
      </c>
      <c r="F23" s="2385">
        <f t="shared" si="6"/>
        <v>-20259.158579999999</v>
      </c>
      <c r="G23" s="2385">
        <f t="shared" si="6"/>
        <v>-20866.933337399998</v>
      </c>
      <c r="H23" s="2385">
        <f t="shared" si="6"/>
        <v>-21492.941337521999</v>
      </c>
      <c r="I23" s="2385">
        <f t="shared" si="6"/>
        <v>-22137.72957764766</v>
      </c>
      <c r="J23" s="2385">
        <f t="shared" si="6"/>
        <v>-22801.861464977086</v>
      </c>
      <c r="K23" s="2386">
        <f t="shared" si="6"/>
        <v>-23485.9173089264</v>
      </c>
      <c r="L23" s="77"/>
      <c r="M23" s="77"/>
      <c r="N23" s="3916"/>
      <c r="O23" s="3918"/>
      <c r="P23" s="77"/>
      <c r="Q23" s="58">
        <v>3</v>
      </c>
      <c r="R23" s="2387">
        <f>-SUM(B32:D32)</f>
        <v>31503</v>
      </c>
      <c r="S23" s="2387">
        <f>SUM(B33:D33)+R23</f>
        <v>194973.97906472581</v>
      </c>
      <c r="T23" s="77"/>
      <c r="U23" s="77"/>
      <c r="V23" s="77"/>
      <c r="W23" s="77"/>
      <c r="X23" s="77"/>
      <c r="Y23" s="77"/>
      <c r="Z23" s="1794" t="s">
        <v>1397</v>
      </c>
      <c r="AA23" s="1795">
        <v>23</v>
      </c>
    </row>
    <row r="24" spans="1:27" ht="13.35" customHeight="1">
      <c r="A24" s="236" t="s">
        <v>1407</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916"/>
      <c r="O24" s="3918"/>
      <c r="P24" s="77"/>
      <c r="Q24" s="58">
        <v>4</v>
      </c>
      <c r="R24" s="2387">
        <f>-SUM(B32:E32)</f>
        <v>31503</v>
      </c>
      <c r="S24" s="2387">
        <f>SUM(B33:E33)+R24</f>
        <v>268130.65158249083</v>
      </c>
      <c r="T24" s="77"/>
      <c r="U24" s="77"/>
      <c r="V24" s="77"/>
      <c r="W24" s="77"/>
      <c r="X24" s="77"/>
      <c r="Y24" s="77"/>
      <c r="Z24" s="1794" t="s">
        <v>1397</v>
      </c>
      <c r="AA24" s="1795">
        <v>24</v>
      </c>
    </row>
    <row r="25" spans="1:27" ht="13.35" customHeight="1">
      <c r="A25" s="236" t="s">
        <v>1408</v>
      </c>
      <c r="B25" s="2385">
        <f>SUM(B20:B24)</f>
        <v>386941.47039999999</v>
      </c>
      <c r="C25" s="2385">
        <f t="shared" ref="C25:J25" si="7">SUM(C20:C24)</f>
        <v>391280.49980800005</v>
      </c>
      <c r="D25" s="2385">
        <f t="shared" si="7"/>
        <v>395603.60980415996</v>
      </c>
      <c r="E25" s="2385">
        <f t="shared" si="7"/>
        <v>399908.7420002431</v>
      </c>
      <c r="F25" s="2385">
        <f t="shared" si="7"/>
        <v>404191.68504024803</v>
      </c>
      <c r="G25" s="2385">
        <f t="shared" si="7"/>
        <v>408449.06878705299</v>
      </c>
      <c r="H25" s="2385">
        <f t="shared" si="7"/>
        <v>412676.35831017414</v>
      </c>
      <c r="I25" s="2385">
        <f t="shared" si="7"/>
        <v>416869.8476681789</v>
      </c>
      <c r="J25" s="2385">
        <f t="shared" si="7"/>
        <v>421025.65347909799</v>
      </c>
      <c r="K25" s="2388">
        <f>SUM(K20:K24)</f>
        <v>425139.70827196207</v>
      </c>
      <c r="L25" s="77"/>
      <c r="M25" s="77"/>
      <c r="N25" s="3916"/>
      <c r="O25" s="3918"/>
      <c r="P25" s="77"/>
      <c r="Q25" s="58">
        <v>5</v>
      </c>
      <c r="R25" s="2387">
        <f>-SUM(B32:F32)</f>
        <v>31503</v>
      </c>
      <c r="S25" s="2387">
        <f>SUM(B33:F33)+R25</f>
        <v>345324.40356526081</v>
      </c>
      <c r="T25" s="77"/>
      <c r="U25" s="77"/>
      <c r="V25" s="77"/>
      <c r="W25" s="77"/>
      <c r="X25" s="77"/>
      <c r="Y25" s="77"/>
      <c r="Z25" s="1794" t="s">
        <v>1397</v>
      </c>
      <c r="AA25" s="1795">
        <v>25</v>
      </c>
    </row>
    <row r="26" spans="1:27" ht="13.35" customHeight="1">
      <c r="A26" s="236" t="s">
        <v>397</v>
      </c>
      <c r="B26" s="2765">
        <f>IF('Part II-Sources of Funds'!$P$42="", 0,-'Part II-Sources of Funds'!$P$42)</f>
        <v>-318556.61698247807</v>
      </c>
      <c r="C26" s="2765">
        <f>IF('Part II-Sources of Funds'!$P$42="", 0,-'Part II-Sources of Funds'!$P$42)</f>
        <v>-318556.61698247807</v>
      </c>
      <c r="D26" s="2765">
        <f>IF('Part II-Sources of Funds'!$P$42="", 0,-'Part II-Sources of Funds'!$P$42)</f>
        <v>-318556.61698247807</v>
      </c>
      <c r="E26" s="2765">
        <f>IF('Part II-Sources of Funds'!$P$42="", 0,-'Part II-Sources of Funds'!$P$42)</f>
        <v>-318556.61698247807</v>
      </c>
      <c r="F26" s="2765">
        <f>IF('Part II-Sources of Funds'!$P$42="", 0,-'Part II-Sources of Funds'!$P$42)</f>
        <v>-318556.61698247807</v>
      </c>
      <c r="G26" s="2765">
        <f>IF('Part II-Sources of Funds'!$P$42="", 0,-'Part II-Sources of Funds'!$P$42)</f>
        <v>-318556.61698247807</v>
      </c>
      <c r="H26" s="2765">
        <f>IF('Part II-Sources of Funds'!$P$42="", 0,-'Part II-Sources of Funds'!$P$42)</f>
        <v>-318556.61698247807</v>
      </c>
      <c r="I26" s="2765">
        <f>IF('Part II-Sources of Funds'!$P$42="", 0,-'Part II-Sources of Funds'!$P$42)</f>
        <v>-318556.61698247807</v>
      </c>
      <c r="J26" s="2765">
        <f>IF('Part II-Sources of Funds'!$P$42="", 0,-'Part II-Sources of Funds'!$P$42)</f>
        <v>-318556.61698247807</v>
      </c>
      <c r="K26" s="2765">
        <f>IF('Part II-Sources of Funds'!$P$42="", 0,-'Part II-Sources of Funds'!$P$42)</f>
        <v>-318556.61698247807</v>
      </c>
      <c r="L26" s="77"/>
      <c r="M26" s="77"/>
      <c r="N26" s="3916"/>
      <c r="O26" s="3918"/>
      <c r="P26" s="77"/>
      <c r="Q26" s="58">
        <v>6</v>
      </c>
      <c r="R26" s="2387">
        <f>-SUM(B32:G32)</f>
        <v>31503</v>
      </c>
      <c r="S26" s="2387">
        <f>SUM(B33:G33)+R26</f>
        <v>426522.29981258576</v>
      </c>
      <c r="T26" s="77"/>
      <c r="U26" s="77"/>
      <c r="V26" s="77"/>
      <c r="W26" s="77"/>
      <c r="X26" s="77"/>
      <c r="Y26" s="77"/>
      <c r="Z26" s="1794" t="s">
        <v>1397</v>
      </c>
      <c r="AA26" s="1795">
        <v>26</v>
      </c>
    </row>
    <row r="27" spans="1:27" ht="13.35" customHeight="1">
      <c r="A27" s="236" t="s">
        <v>399</v>
      </c>
      <c r="B27" s="2389">
        <f>IF('Part II-Sources of Funds'!$P$43="", 0,-'Part II-Sources of Funds'!$P$43)</f>
        <v>0</v>
      </c>
      <c r="C27" s="2389">
        <f>IF('Part II-Sources of Funds'!$P$43="", 0,-'Part II-Sources of Funds'!$P$43)</f>
        <v>0</v>
      </c>
      <c r="D27" s="2389">
        <f>IF('Part II-Sources of Funds'!$P$43="", 0,-'Part II-Sources of Funds'!$P$43)</f>
        <v>0</v>
      </c>
      <c r="E27" s="2389">
        <f>IF('Part II-Sources of Funds'!$P$43="", 0,-'Part II-Sources of Funds'!$P$43)</f>
        <v>0</v>
      </c>
      <c r="F27" s="2389">
        <f>IF('Part II-Sources of Funds'!$P$43="", 0,-'Part II-Sources of Funds'!$P$43)</f>
        <v>0</v>
      </c>
      <c r="G27" s="2389">
        <f>IF('Part II-Sources of Funds'!$P$43="", 0,-'Part II-Sources of Funds'!$P$43)</f>
        <v>0</v>
      </c>
      <c r="H27" s="2389">
        <f>IF('Part II-Sources of Funds'!$P$43="", 0,-'Part II-Sources of Funds'!$P$43)</f>
        <v>0</v>
      </c>
      <c r="I27" s="2389">
        <f>IF('Part II-Sources of Funds'!$P$43="", 0,-'Part II-Sources of Funds'!$P$43)</f>
        <v>0</v>
      </c>
      <c r="J27" s="2389">
        <f>IF('Part II-Sources of Funds'!$P$43="", 0,-'Part II-Sources of Funds'!$P$43)</f>
        <v>0</v>
      </c>
      <c r="K27" s="2389">
        <f>IF('Part II-Sources of Funds'!$P$43="", 0,-'Part II-Sources of Funds'!$P$43)</f>
        <v>0</v>
      </c>
      <c r="L27" s="77"/>
      <c r="M27" s="77"/>
      <c r="N27" s="3916"/>
      <c r="O27" s="3918"/>
      <c r="P27" s="77"/>
      <c r="Q27" s="58">
        <v>7</v>
      </c>
      <c r="R27" s="2387">
        <f>-SUM(B32:H32)</f>
        <v>31503</v>
      </c>
      <c r="S27" s="2387">
        <f>SUM(B33:H33)+R27</f>
        <v>511686.64891631436</v>
      </c>
      <c r="T27" s="77"/>
      <c r="U27" s="77"/>
      <c r="V27" s="77"/>
      <c r="W27" s="77"/>
      <c r="X27" s="77"/>
      <c r="Y27" s="77"/>
      <c r="Z27" s="1794" t="s">
        <v>1397</v>
      </c>
      <c r="AA27" s="1795">
        <v>27</v>
      </c>
    </row>
    <row r="28" spans="1:27" ht="13.35" customHeight="1">
      <c r="A28" s="236" t="s">
        <v>401</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916"/>
      <c r="O28" s="3918"/>
      <c r="P28" s="77"/>
      <c r="Q28" s="58">
        <v>8</v>
      </c>
      <c r="R28" s="2387">
        <f>-SUM(B32:I32)</f>
        <v>31503</v>
      </c>
      <c r="S28" s="2387">
        <f>SUM(B33:I33)+R28</f>
        <v>600775.82561132871</v>
      </c>
      <c r="T28" s="77"/>
      <c r="U28" s="77"/>
      <c r="V28" s="77"/>
      <c r="W28" s="77"/>
      <c r="X28" s="77"/>
      <c r="Y28" s="77"/>
      <c r="Z28" s="1794" t="s">
        <v>1397</v>
      </c>
      <c r="AA28" s="1795">
        <v>28</v>
      </c>
    </row>
    <row r="29" spans="1:27" ht="13.35" customHeight="1">
      <c r="A29" s="236" t="s">
        <v>1409</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916"/>
      <c r="O29" s="3918"/>
      <c r="P29" s="77"/>
      <c r="Q29" s="58">
        <v>9</v>
      </c>
      <c r="R29" s="2387">
        <f>-SUM(B32:J32)</f>
        <v>31503</v>
      </c>
      <c r="S29" s="2387">
        <f>SUM(B33:J33)+R29</f>
        <v>693744.08649754152</v>
      </c>
      <c r="T29" s="77"/>
      <c r="U29" s="77"/>
      <c r="V29" s="77"/>
      <c r="W29" s="77"/>
      <c r="X29" s="77"/>
      <c r="Y29" s="77"/>
      <c r="Z29" s="1794" t="s">
        <v>1397</v>
      </c>
      <c r="AA29" s="1795">
        <v>29</v>
      </c>
    </row>
    <row r="30" spans="1:27" ht="13.35" customHeight="1">
      <c r="A30" s="236" t="s">
        <v>1410</v>
      </c>
      <c r="B30" s="2390"/>
      <c r="C30" s="2390"/>
      <c r="D30" s="2390"/>
      <c r="E30" s="2390"/>
      <c r="F30" s="2390"/>
      <c r="G30" s="2390"/>
      <c r="H30" s="2390"/>
      <c r="I30" s="2390"/>
      <c r="J30" s="2390"/>
      <c r="K30" s="2390"/>
      <c r="L30" s="77"/>
      <c r="M30" s="77"/>
      <c r="N30" s="3916"/>
      <c r="O30" s="3918"/>
      <c r="P30" s="77"/>
      <c r="Q30" s="58">
        <v>10</v>
      </c>
      <c r="R30" s="2387">
        <f>-SUM(B32:K32)</f>
        <v>31503</v>
      </c>
      <c r="S30" s="2387">
        <f>SUM(B33:K33)+R30</f>
        <v>790541.37890830613</v>
      </c>
      <c r="T30" s="77"/>
      <c r="U30" s="77"/>
      <c r="V30" s="77"/>
      <c r="W30" s="77"/>
      <c r="X30" s="77"/>
      <c r="Y30" s="77"/>
      <c r="Z30" s="1794" t="s">
        <v>1397</v>
      </c>
      <c r="AA30" s="1795">
        <v>30</v>
      </c>
    </row>
    <row r="31" spans="1:27" ht="13.35" customHeight="1">
      <c r="A31" s="236" t="s">
        <v>1411</v>
      </c>
      <c r="B31" s="2391">
        <f>-$G$6</f>
        <v>-7500</v>
      </c>
      <c r="C31" s="2391">
        <f>+B31*1.03</f>
        <v>-7725</v>
      </c>
      <c r="D31" s="2391">
        <f t="shared" ref="D31:K31" si="8">+C31*1.03</f>
        <v>-7956.75</v>
      </c>
      <c r="E31" s="2391">
        <f t="shared" si="8"/>
        <v>-8195.4524999999994</v>
      </c>
      <c r="F31" s="2391">
        <f t="shared" si="8"/>
        <v>-8441.3160749999988</v>
      </c>
      <c r="G31" s="2391">
        <f t="shared" si="8"/>
        <v>-8694.5555572499998</v>
      </c>
      <c r="H31" s="2391">
        <f t="shared" si="8"/>
        <v>-8955.3922239674994</v>
      </c>
      <c r="I31" s="2391">
        <f t="shared" si="8"/>
        <v>-9224.0539906865251</v>
      </c>
      <c r="J31" s="2391">
        <f t="shared" si="8"/>
        <v>-9500.7756104071213</v>
      </c>
      <c r="K31" s="2391">
        <f t="shared" si="8"/>
        <v>-9785.7988787193353</v>
      </c>
      <c r="L31" s="77"/>
      <c r="M31" s="77"/>
      <c r="N31" s="3916"/>
      <c r="O31" s="3918"/>
      <c r="P31" s="77"/>
      <c r="Q31" s="58">
        <v>11</v>
      </c>
      <c r="R31" s="2387">
        <f>-SUM(B32:K32)-B64</f>
        <v>31503</v>
      </c>
      <c r="S31" s="2387">
        <f>SUM(B33:K33)+B65+R31</f>
        <v>891111.1426931289</v>
      </c>
      <c r="T31" s="77"/>
      <c r="U31" s="77"/>
      <c r="V31" s="77"/>
      <c r="W31" s="77"/>
      <c r="X31" s="77"/>
      <c r="Y31" s="77"/>
      <c r="Z31" s="1794" t="s">
        <v>1397</v>
      </c>
      <c r="AA31" s="1795">
        <v>31</v>
      </c>
    </row>
    <row r="32" spans="1:27" ht="13.35" customHeight="1">
      <c r="A32" s="236" t="s">
        <v>1412</v>
      </c>
      <c r="B32" s="2392">
        <v>-31503</v>
      </c>
      <c r="C32" s="2392">
        <f>IF('Part II-Sources of Funds'!$P$47="", 0,-'Part II-Sources of Funds'!$P$47)</f>
        <v>0</v>
      </c>
      <c r="D32" s="2392">
        <f>IF('Part II-Sources of Funds'!$P$47="", 0,-'Part II-Sources of Funds'!$P$47)</f>
        <v>0</v>
      </c>
      <c r="E32" s="2392">
        <f>IF('Part II-Sources of Funds'!$P$47="", 0,-'Part II-Sources of Funds'!$P$47)</f>
        <v>0</v>
      </c>
      <c r="F32" s="2392">
        <f>IF('Part II-Sources of Funds'!$P$47="", 0,-'Part II-Sources of Funds'!$P$47)</f>
        <v>0</v>
      </c>
      <c r="G32" s="2392">
        <f>IF('Part II-Sources of Funds'!$P$47="", 0,-'Part II-Sources of Funds'!$P$47)</f>
        <v>0</v>
      </c>
      <c r="H32" s="2392">
        <f>IF('Part II-Sources of Funds'!$P$47="", 0,-'Part II-Sources of Funds'!$P$47)</f>
        <v>0</v>
      </c>
      <c r="I32" s="2392">
        <f>IF('Part II-Sources of Funds'!$P$47="", 0,-'Part II-Sources of Funds'!$P$47)</f>
        <v>0</v>
      </c>
      <c r="J32" s="2392">
        <f>IF('Part II-Sources of Funds'!$P$47="", 0,-'Part II-Sources of Funds'!$P$47)</f>
        <v>0</v>
      </c>
      <c r="K32" s="2392">
        <f>IF('Part II-Sources of Funds'!$P$47="", 0,-'Part II-Sources of Funds'!$P$47)</f>
        <v>0</v>
      </c>
      <c r="L32" s="77"/>
      <c r="M32" s="77"/>
      <c r="N32" s="3916"/>
      <c r="O32" s="3918"/>
      <c r="P32" s="77"/>
      <c r="Q32" s="58">
        <v>12</v>
      </c>
      <c r="R32" s="2387">
        <f>-SUM(B32:K32) - SUM(B64:C64)</f>
        <v>31503</v>
      </c>
      <c r="S32" s="2387">
        <f>SUM(B33:K33) + SUM(B65:C65)+R32</f>
        <v>995393.1046750769</v>
      </c>
      <c r="T32" s="77"/>
      <c r="U32" s="77"/>
      <c r="V32" s="77"/>
      <c r="W32" s="77"/>
      <c r="X32" s="77"/>
      <c r="Y32" s="77"/>
      <c r="Z32" s="1794" t="s">
        <v>1397</v>
      </c>
      <c r="AA32" s="1795">
        <v>32</v>
      </c>
    </row>
    <row r="33" spans="1:27" ht="13.35" customHeight="1">
      <c r="A33" s="236" t="s">
        <v>1413</v>
      </c>
      <c r="B33" s="2385">
        <f t="shared" ref="B33:K33" si="9">SUM(B25:B32)</f>
        <v>29381.853417521925</v>
      </c>
      <c r="C33" s="2385">
        <f t="shared" si="9"/>
        <v>64998.882825521985</v>
      </c>
      <c r="D33" s="2385">
        <f t="shared" si="9"/>
        <v>69090.242821681895</v>
      </c>
      <c r="E33" s="2385">
        <f t="shared" si="9"/>
        <v>73156.672517765037</v>
      </c>
      <c r="F33" s="2385">
        <f t="shared" si="9"/>
        <v>77193.751982769973</v>
      </c>
      <c r="G33" s="2385">
        <f t="shared" si="9"/>
        <v>81197.896247324927</v>
      </c>
      <c r="H33" s="2385">
        <f t="shared" si="9"/>
        <v>85164.349103728571</v>
      </c>
      <c r="I33" s="2385">
        <f t="shared" si="9"/>
        <v>89089.176695014306</v>
      </c>
      <c r="J33" s="2385">
        <f t="shared" si="9"/>
        <v>92968.260886212811</v>
      </c>
      <c r="K33" s="2386">
        <f t="shared" si="9"/>
        <v>96797.292410764669</v>
      </c>
      <c r="L33" s="77"/>
      <c r="M33" s="77"/>
      <c r="N33" s="3916"/>
      <c r="O33" s="3918"/>
      <c r="P33" s="77"/>
      <c r="Q33" s="58">
        <v>13</v>
      </c>
      <c r="R33" s="2387">
        <f>-SUM(B32:K32) - SUM(B64:D64)</f>
        <v>31503</v>
      </c>
      <c r="S33" s="2387">
        <f>SUM(B33:K33) + SUM(B65:D65)+R33</f>
        <v>1103322.0655355463</v>
      </c>
      <c r="T33" s="77"/>
      <c r="U33" s="77"/>
      <c r="V33" s="77"/>
      <c r="W33" s="77"/>
      <c r="X33" s="77"/>
      <c r="Y33" s="77"/>
      <c r="Z33" s="1794" t="s">
        <v>1397</v>
      </c>
      <c r="AA33" s="1795">
        <v>33</v>
      </c>
    </row>
    <row r="34" spans="1:27" ht="13.35" customHeight="1">
      <c r="A34" s="236" t="str">
        <f>IF('Part II-Sources of Funds'!$E$42 = "Neither", "", "DCR Mortgage A")</f>
        <v>DCR Mortgage A</v>
      </c>
      <c r="B34" s="2393">
        <f t="shared" ref="B34:K34" si="10">IF(B26=0,"",-B25/B26)</f>
        <v>1.2146709557167459</v>
      </c>
      <c r="C34" s="2393">
        <f t="shared" si="10"/>
        <v>1.228291860688369</v>
      </c>
      <c r="D34" s="2393">
        <f t="shared" si="10"/>
        <v>1.2418627920886032</v>
      </c>
      <c r="E34" s="2393">
        <f t="shared" si="10"/>
        <v>1.255377288308658</v>
      </c>
      <c r="F34" s="2393">
        <f t="shared" si="10"/>
        <v>1.2688221292307365</v>
      </c>
      <c r="G34" s="2393">
        <f t="shared" si="10"/>
        <v>1.2821867354571994</v>
      </c>
      <c r="H34" s="2393">
        <f t="shared" si="10"/>
        <v>1.2954568711183703</v>
      </c>
      <c r="I34" s="2393">
        <f t="shared" si="10"/>
        <v>1.3086209026733495</v>
      </c>
      <c r="J34" s="2393">
        <f t="shared" si="10"/>
        <v>1.3216666395671077</v>
      </c>
      <c r="K34" s="2394">
        <f t="shared" si="10"/>
        <v>1.3345813133598996</v>
      </c>
      <c r="L34" s="77"/>
      <c r="M34" s="77"/>
      <c r="N34" s="3916"/>
      <c r="O34" s="3918"/>
      <c r="P34" s="77"/>
      <c r="Q34" s="58">
        <v>14</v>
      </c>
      <c r="R34" s="2387">
        <f>-SUM(B32:K32) - SUM(B64:E64)</f>
        <v>31503</v>
      </c>
      <c r="S34" s="2387">
        <f>SUM(B33:K33) + SUM(B65:E65)+R34</f>
        <v>1214826.678871084</v>
      </c>
      <c r="T34" s="77"/>
      <c r="U34" s="77"/>
      <c r="V34" s="77"/>
      <c r="W34" s="77"/>
      <c r="X34" s="77"/>
      <c r="Y34" s="77"/>
      <c r="Z34" s="1794" t="s">
        <v>1397</v>
      </c>
      <c r="AA34" s="1795">
        <v>34</v>
      </c>
    </row>
    <row r="35" spans="1:27" ht="13.35" customHeight="1">
      <c r="A35" s="236" t="str">
        <f>IF('Part II-Sources of Funds'!$E$42 = "Neither", "", "DCR Mortgage B")</f>
        <v>DCR Mortgage B</v>
      </c>
      <c r="B35" s="2393" t="str">
        <f t="shared" ref="B35:K35" si="11">IF(B27=0,"",-(B25+B26)/B27)</f>
        <v/>
      </c>
      <c r="C35" s="2393" t="str">
        <f t="shared" si="11"/>
        <v/>
      </c>
      <c r="D35" s="2393" t="str">
        <f t="shared" si="11"/>
        <v/>
      </c>
      <c r="E35" s="2393" t="str">
        <f t="shared" si="11"/>
        <v/>
      </c>
      <c r="F35" s="2393" t="str">
        <f t="shared" si="11"/>
        <v/>
      </c>
      <c r="G35" s="2393" t="str">
        <f t="shared" si="11"/>
        <v/>
      </c>
      <c r="H35" s="2393" t="str">
        <f t="shared" si="11"/>
        <v/>
      </c>
      <c r="I35" s="2393" t="str">
        <f t="shared" si="11"/>
        <v/>
      </c>
      <c r="J35" s="2393" t="str">
        <f t="shared" si="11"/>
        <v/>
      </c>
      <c r="K35" s="2394" t="str">
        <f t="shared" si="11"/>
        <v/>
      </c>
      <c r="L35" s="77"/>
      <c r="M35" s="77"/>
      <c r="N35" s="3916"/>
      <c r="O35" s="3918"/>
      <c r="P35" s="77"/>
      <c r="Q35" s="58">
        <v>15</v>
      </c>
      <c r="R35" s="2387">
        <f>-SUM(B32:K32) - SUM(B64:F64)</f>
        <v>31503</v>
      </c>
      <c r="S35" s="2387">
        <f>SUM(B33:K33) + SUM(B65:F65)+R35</f>
        <v>1329829.2221587377</v>
      </c>
      <c r="T35" s="77"/>
      <c r="U35" s="77"/>
      <c r="V35" s="77"/>
      <c r="W35" s="77"/>
      <c r="X35" s="77"/>
      <c r="Y35" s="77"/>
      <c r="Z35" s="1794" t="s">
        <v>1397</v>
      </c>
      <c r="AA35" s="1795">
        <v>35</v>
      </c>
    </row>
    <row r="36" spans="1:27" ht="13.35" customHeight="1">
      <c r="A36" s="236" t="str">
        <f>IF('Part II-Sources of Funds'!$E$42 = "Neither", "DCR First Mortgage", "DCR Mortgage C")</f>
        <v>DCR Mortgage C</v>
      </c>
      <c r="B36" s="2393" t="str">
        <f t="shared" ref="B36:K36" si="12">IF(B28=0,"",-(B25+B26+B27)/B28)</f>
        <v/>
      </c>
      <c r="C36" s="2393" t="str">
        <f t="shared" si="12"/>
        <v/>
      </c>
      <c r="D36" s="2393" t="str">
        <f t="shared" si="12"/>
        <v/>
      </c>
      <c r="E36" s="2393" t="str">
        <f t="shared" si="12"/>
        <v/>
      </c>
      <c r="F36" s="2393" t="str">
        <f t="shared" si="12"/>
        <v/>
      </c>
      <c r="G36" s="2393" t="str">
        <f t="shared" si="12"/>
        <v/>
      </c>
      <c r="H36" s="2393" t="str">
        <f t="shared" si="12"/>
        <v/>
      </c>
      <c r="I36" s="2393" t="str">
        <f t="shared" si="12"/>
        <v/>
      </c>
      <c r="J36" s="2393" t="str">
        <f t="shared" si="12"/>
        <v/>
      </c>
      <c r="K36" s="2394" t="str">
        <f t="shared" si="12"/>
        <v/>
      </c>
      <c r="L36" s="77"/>
      <c r="M36" s="77"/>
      <c r="N36" s="3916"/>
      <c r="O36" s="3918"/>
      <c r="P36" s="77"/>
      <c r="Q36" s="58">
        <v>16</v>
      </c>
      <c r="R36" s="2387">
        <f>-SUM(B32:K32) - SUM(B64:G64)</f>
        <v>31503</v>
      </c>
      <c r="S36" s="2387">
        <f>SUM(B33:K33) + SUM(B65:G65)+R36</f>
        <v>1448246.3593579223</v>
      </c>
      <c r="T36" s="77"/>
      <c r="U36" s="77"/>
      <c r="V36" s="77"/>
      <c r="W36" s="77"/>
      <c r="X36" s="77"/>
      <c r="Y36" s="77"/>
      <c r="Z36" s="1794" t="s">
        <v>1397</v>
      </c>
      <c r="AA36" s="1795">
        <v>36</v>
      </c>
    </row>
    <row r="37" spans="1:27" ht="13.35" customHeight="1">
      <c r="A37" s="236" t="s">
        <v>1414</v>
      </c>
      <c r="B37" s="2393" t="str">
        <f t="shared" ref="B37:K37" si="13">IF(B29=0,"",-(B25+B26+B27+B28)/B29)</f>
        <v/>
      </c>
      <c r="C37" s="2393" t="str">
        <f t="shared" si="13"/>
        <v/>
      </c>
      <c r="D37" s="2393" t="str">
        <f t="shared" si="13"/>
        <v/>
      </c>
      <c r="E37" s="2393" t="str">
        <f t="shared" si="13"/>
        <v/>
      </c>
      <c r="F37" s="2393" t="str">
        <f t="shared" si="13"/>
        <v/>
      </c>
      <c r="G37" s="2393" t="str">
        <f t="shared" si="13"/>
        <v/>
      </c>
      <c r="H37" s="2393" t="str">
        <f t="shared" si="13"/>
        <v/>
      </c>
      <c r="I37" s="2393" t="str">
        <f t="shared" si="13"/>
        <v/>
      </c>
      <c r="J37" s="2393" t="str">
        <f t="shared" si="13"/>
        <v/>
      </c>
      <c r="K37" s="2394" t="str">
        <f t="shared" si="13"/>
        <v/>
      </c>
      <c r="L37" s="77"/>
      <c r="M37" s="77"/>
      <c r="N37" s="3916"/>
      <c r="O37" s="3918"/>
      <c r="P37" s="77"/>
      <c r="Q37" s="58">
        <v>17</v>
      </c>
      <c r="R37" s="2387">
        <f>-SUM(B32:K32) - SUM(B64:H64)</f>
        <v>31503</v>
      </c>
      <c r="S37" s="2387">
        <f>SUM(B33:K33) + SUM(B65:H65)+R37</f>
        <v>1569988.894868053</v>
      </c>
      <c r="T37" s="77"/>
      <c r="U37" s="77"/>
      <c r="V37" s="77"/>
      <c r="W37" s="77"/>
      <c r="X37" s="77"/>
      <c r="Y37" s="77"/>
      <c r="Z37" s="1794" t="s">
        <v>1397</v>
      </c>
      <c r="AA37" s="1795">
        <v>37</v>
      </c>
    </row>
    <row r="38" spans="1:27" ht="13.35" customHeight="1">
      <c r="A38" s="236" t="s">
        <v>1415</v>
      </c>
      <c r="B38" s="2393">
        <f t="shared" ref="B38:K38" si="14">IF(AND(B26=0,B27=0,B28=0,B29=0),"",-B25/(B26+B27+B28+B29))</f>
        <v>1.2146709557167459</v>
      </c>
      <c r="C38" s="2393">
        <f t="shared" si="14"/>
        <v>1.228291860688369</v>
      </c>
      <c r="D38" s="2393">
        <f t="shared" si="14"/>
        <v>1.2418627920886032</v>
      </c>
      <c r="E38" s="2393">
        <f t="shared" si="14"/>
        <v>1.255377288308658</v>
      </c>
      <c r="F38" s="2393">
        <f t="shared" si="14"/>
        <v>1.2688221292307365</v>
      </c>
      <c r="G38" s="2393">
        <f t="shared" si="14"/>
        <v>1.2821867354571994</v>
      </c>
      <c r="H38" s="2393">
        <f t="shared" si="14"/>
        <v>1.2954568711183703</v>
      </c>
      <c r="I38" s="2393">
        <f t="shared" si="14"/>
        <v>1.3086209026733495</v>
      </c>
      <c r="J38" s="2393">
        <f t="shared" si="14"/>
        <v>1.3216666395671077</v>
      </c>
      <c r="K38" s="2394">
        <f t="shared" si="14"/>
        <v>1.3345813133598996</v>
      </c>
      <c r="L38" s="77"/>
      <c r="M38" s="77"/>
      <c r="N38" s="3916"/>
      <c r="O38" s="3918"/>
      <c r="P38" s="77"/>
      <c r="Q38" s="58">
        <v>18</v>
      </c>
      <c r="R38" s="2387">
        <f>-SUM(B32:K32) - SUM(B64:I64)</f>
        <v>31503</v>
      </c>
      <c r="S38" s="2387">
        <f>SUM(B33:K33) + SUM(B65:I65)+R38</f>
        <v>1694961.5185521676</v>
      </c>
      <c r="T38" s="77"/>
      <c r="U38" s="77"/>
      <c r="V38" s="77"/>
      <c r="W38" s="77"/>
      <c r="X38" s="77"/>
      <c r="Y38" s="77"/>
      <c r="Z38" s="1794" t="s">
        <v>1397</v>
      </c>
      <c r="AA38" s="1795">
        <v>38</v>
      </c>
    </row>
    <row r="39" spans="1:27" ht="13.35" customHeight="1">
      <c r="A39" s="236" t="s">
        <v>1416</v>
      </c>
      <c r="B39" s="1793">
        <f t="shared" ref="B39:K39" si="15">IF(OR(B22="Choose mgt fee",B22="Choose One!"),"",(B15+B16+B17+B18+B19) / -(B21+B22+B23))</f>
        <v>2.0229510664622219</v>
      </c>
      <c r="C39" s="1793">
        <f t="shared" si="15"/>
        <v>2.0052810066362645</v>
      </c>
      <c r="D39" s="1793">
        <f t="shared" si="15"/>
        <v>1.9877447112799616</v>
      </c>
      <c r="E39" s="1793">
        <f t="shared" si="15"/>
        <v>1.9703480399040008</v>
      </c>
      <c r="F39" s="1793">
        <f t="shared" si="15"/>
        <v>1.9530867237723557</v>
      </c>
      <c r="G39" s="1793">
        <f t="shared" si="15"/>
        <v>1.9359614463707502</v>
      </c>
      <c r="H39" s="1793">
        <f t="shared" si="15"/>
        <v>1.9189684338120407</v>
      </c>
      <c r="I39" s="1793">
        <f t="shared" si="15"/>
        <v>1.902108487245969</v>
      </c>
      <c r="J39" s="1793">
        <f t="shared" si="15"/>
        <v>1.8853822178525672</v>
      </c>
      <c r="K39" s="2395">
        <f t="shared" si="15"/>
        <v>1.868790061762116</v>
      </c>
      <c r="L39" s="77"/>
      <c r="M39" s="77"/>
      <c r="N39" s="3916"/>
      <c r="O39" s="3918"/>
      <c r="P39" s="77"/>
      <c r="Q39" s="58">
        <v>19</v>
      </c>
      <c r="R39" s="2387">
        <f>-SUM(B32:K32) - SUM(B64:J64)</f>
        <v>31503</v>
      </c>
      <c r="S39" s="2387">
        <f>SUM(B33:K33) + SUM(B65:J65)+R39</f>
        <v>1823060.5415274696</v>
      </c>
      <c r="T39" s="77"/>
      <c r="U39" s="77"/>
      <c r="V39" s="77"/>
      <c r="W39" s="77"/>
      <c r="X39" s="77"/>
      <c r="Y39" s="77"/>
      <c r="Z39" s="1794" t="s">
        <v>1397</v>
      </c>
      <c r="AA39" s="1795">
        <v>39</v>
      </c>
    </row>
    <row r="40" spans="1:27" ht="13.35" customHeight="1">
      <c r="A40" s="236" t="s">
        <v>1417</v>
      </c>
      <c r="B40" s="2766">
        <f>IF('Part II-Sources of Funds'!$I$42="","",-FV('Part II-Sources of Funds'!$K$42/12,12,B26/12,'Part II-Sources of Funds'!$I$42))</f>
        <v>4131718.8426943091</v>
      </c>
      <c r="C40" s="2766">
        <f>IF('Part II-Sources of Funds'!$I$42="","",-FV('Part II-Sources of Funds'!$K$42/12,12,C26/12,B40))</f>
        <v>4112067.3609620924</v>
      </c>
      <c r="D40" s="2766">
        <f>IF('Part II-Sources of Funds'!$I$42="","",-FV('Part II-Sources of Funds'!$K$42/12,12,D26/12,C40))</f>
        <v>4090942.837617422</v>
      </c>
      <c r="E40" s="2766">
        <f>IF('Part II-Sources of Funds'!$I$42="","",-FV('Part II-Sources of Funds'!$K$42/12,12,E26/12,D40))</f>
        <v>4068234.8559689983</v>
      </c>
      <c r="F40" s="2766">
        <f>IF('Part II-Sources of Funds'!$I$42="","",-FV('Part II-Sources of Funds'!$K$42/12,12,F26/12,E40))</f>
        <v>4043824.722678334</v>
      </c>
      <c r="G40" s="2766">
        <f>IF('Part II-Sources of Funds'!$I$42="","",-FV('Part II-Sources of Funds'!$K$42/12,12,G26/12,F40))</f>
        <v>4017584.8473563739</v>
      </c>
      <c r="H40" s="2766">
        <f>IF('Part II-Sources of Funds'!$I$42="","",-FV('Part II-Sources of Funds'!$K$42/12,12,H26/12,G40))</f>
        <v>3989378.0756557318</v>
      </c>
      <c r="I40" s="2766">
        <f>IF('Part II-Sources of Funds'!$I$42="","",-FV('Part II-Sources of Funds'!$K$42/12,12,I26/12,H40))</f>
        <v>3959056.9723726572</v>
      </c>
      <c r="J40" s="2766">
        <f>IF('Part II-Sources of Funds'!$I$42="","",-FV('Part II-Sources of Funds'!$K$42/12,12,J26/12,I40))</f>
        <v>3926463.0508115473</v>
      </c>
      <c r="K40" s="2766">
        <f>IF('Part II-Sources of Funds'!$I$42="","",-FV('Part II-Sources of Funds'!$K$42/12,12,K26/12,J40))</f>
        <v>3891425.9443839318</v>
      </c>
      <c r="L40" s="77"/>
      <c r="M40" s="77"/>
      <c r="N40" s="3916"/>
      <c r="O40" s="3918"/>
      <c r="P40" s="77"/>
      <c r="Q40" s="58">
        <v>20</v>
      </c>
      <c r="R40" s="2387">
        <f>-SUM(B32:K32) - SUM(B64:K64)</f>
        <v>31503</v>
      </c>
      <c r="S40" s="2387">
        <f>SUM(B33:K33) + SUM(B65:K65)+R40</f>
        <v>1954176.6224141181</v>
      </c>
      <c r="T40" s="77"/>
      <c r="U40" s="77"/>
      <c r="V40" s="77"/>
      <c r="W40" s="77"/>
      <c r="X40" s="77"/>
      <c r="Y40" s="77"/>
      <c r="Z40" s="1794" t="s">
        <v>1397</v>
      </c>
      <c r="AA40" s="1795">
        <v>40</v>
      </c>
    </row>
    <row r="41" spans="1:27" ht="13.35" customHeight="1">
      <c r="A41" s="236" t="s">
        <v>1418</v>
      </c>
      <c r="B41" s="2389" t="str">
        <f>IF('Part II-Sources of Funds'!$I$43="","",-FV('Part II-Sources of Funds'!$K$43/12,12,B27/12,'Part II-Sources of Funds'!$I$43))</f>
        <v/>
      </c>
      <c r="C41" s="2389" t="str">
        <f>IF('Part II-Sources of Funds'!$I$43="","",-FV('Part II-Sources of Funds'!$K$43/12,12,C27/12,B41))</f>
        <v/>
      </c>
      <c r="D41" s="2389" t="str">
        <f>IF('Part II-Sources of Funds'!$I$43="","",-FV('Part II-Sources of Funds'!$K$43/12,12,D27/12,C41))</f>
        <v/>
      </c>
      <c r="E41" s="2389" t="str">
        <f>IF('Part II-Sources of Funds'!$I$43="","",-FV('Part II-Sources of Funds'!$K$43/12,12,E27/12,D41))</f>
        <v/>
      </c>
      <c r="F41" s="2389" t="str">
        <f>IF('Part II-Sources of Funds'!$I$43="","",-FV('Part II-Sources of Funds'!$K$43/12,12,F27/12,E41))</f>
        <v/>
      </c>
      <c r="G41" s="2389" t="str">
        <f>IF('Part II-Sources of Funds'!$I$43="","",-FV('Part II-Sources of Funds'!$K$43/12,12,G27/12,F41))</f>
        <v/>
      </c>
      <c r="H41" s="2389" t="str">
        <f>IF('Part II-Sources of Funds'!$I$43="","",-FV('Part II-Sources of Funds'!$K$43/12,12,H27/12,G41))</f>
        <v/>
      </c>
      <c r="I41" s="2389" t="str">
        <f>IF('Part II-Sources of Funds'!$I$43="","",-FV('Part II-Sources of Funds'!$K$43/12,12,I27/12,H41))</f>
        <v/>
      </c>
      <c r="J41" s="2389" t="str">
        <f>IF('Part II-Sources of Funds'!$I$43="","",-FV('Part II-Sources of Funds'!$K$43/12,12,J27/12,I41))</f>
        <v/>
      </c>
      <c r="K41" s="2389" t="str">
        <f>IF('Part II-Sources of Funds'!$I$43="","",-FV('Part II-Sources of Funds'!$K$43/12,12,K27/12,J41))</f>
        <v/>
      </c>
      <c r="L41" s="77"/>
      <c r="M41" s="77"/>
      <c r="N41" s="3916"/>
      <c r="O41" s="3918"/>
      <c r="P41" s="77"/>
      <c r="Q41" s="77"/>
      <c r="R41" s="77"/>
      <c r="S41" s="77"/>
      <c r="T41" s="77"/>
      <c r="U41" s="77"/>
      <c r="V41" s="77"/>
      <c r="W41" s="77"/>
      <c r="X41" s="77"/>
      <c r="Y41" s="77"/>
      <c r="Z41" s="1794" t="s">
        <v>1397</v>
      </c>
      <c r="AA41" s="1795">
        <v>41</v>
      </c>
    </row>
    <row r="42" spans="1:27" ht="13.35" customHeight="1">
      <c r="A42" s="236" t="s">
        <v>1419</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916"/>
      <c r="O42" s="3918"/>
      <c r="P42" s="77"/>
      <c r="Q42" s="77"/>
      <c r="R42" s="77"/>
      <c r="S42" s="77"/>
      <c r="T42" s="77"/>
      <c r="U42" s="77"/>
      <c r="V42" s="77"/>
      <c r="W42" s="77"/>
      <c r="X42" s="77"/>
      <c r="Y42" s="77"/>
      <c r="Z42" s="1794" t="s">
        <v>1397</v>
      </c>
      <c r="AA42" s="1795">
        <v>42</v>
      </c>
    </row>
    <row r="43" spans="1:27" ht="13.35" customHeight="1">
      <c r="A43" s="236" t="s">
        <v>1420</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916"/>
      <c r="O43" s="3918"/>
      <c r="P43" s="77"/>
      <c r="Q43" s="77"/>
      <c r="R43" s="77"/>
      <c r="S43" s="77"/>
      <c r="T43" s="77"/>
      <c r="U43" s="77"/>
      <c r="V43" s="77"/>
      <c r="W43" s="77"/>
      <c r="X43" s="77"/>
      <c r="Y43" s="77"/>
      <c r="Z43" s="1794" t="s">
        <v>1397</v>
      </c>
      <c r="AA43" s="1795">
        <v>43</v>
      </c>
    </row>
    <row r="44" spans="1:27" ht="13.35" customHeight="1">
      <c r="A44" s="236" t="s">
        <v>1421</v>
      </c>
      <c r="B44" s="2392">
        <f>IF('Part II-Sources of Funds'!$I$47="","",-FV('Part II-Sources of Funds'!$K$47/12,12,B32/12,'Part II-Sources of Funds'!$I$47))</f>
        <v>0</v>
      </c>
      <c r="C44" s="2392">
        <f>IF('Part II-Sources of Funds'!$I$47="","",IF(-FV('Part II-Sources of Funds'!$K$47/12,12,C32/12,B44)&gt;0,-FV('Part II-Sources of Funds'!$K$47/12,12,C32/12,B44),0))</f>
        <v>0</v>
      </c>
      <c r="D44" s="2392">
        <f>IF('Part II-Sources of Funds'!$I$47="","",IF(-FV('Part II-Sources of Funds'!$K$47/12,12,D32/12,C44)&gt;0,-FV('Part II-Sources of Funds'!$K$47/12,12,D32/12,C44),0))</f>
        <v>0</v>
      </c>
      <c r="E44" s="2392">
        <f>IF('Part II-Sources of Funds'!$I$47="","",IF(-FV('Part II-Sources of Funds'!$K$47/12,12,E32/12,D44)&gt;0,-FV('Part II-Sources of Funds'!$K$47/12,12,E32/12,D44),0))</f>
        <v>0</v>
      </c>
      <c r="F44" s="2392">
        <f>IF('Part II-Sources of Funds'!$I$47="","",IF(-FV('Part II-Sources of Funds'!$K$47/12,12,F32/12,E44)&gt;0,-FV('Part II-Sources of Funds'!$K$47/12,12,F32/12,E44),0))</f>
        <v>0</v>
      </c>
      <c r="G44" s="2392">
        <f>IF('Part II-Sources of Funds'!$I$47="","",IF(-FV('Part II-Sources of Funds'!$K$47/12,12,G32/12,F44)&gt;0,-FV('Part II-Sources of Funds'!$K$47/12,12,G32/12,F44),0))</f>
        <v>0</v>
      </c>
      <c r="H44" s="2392">
        <f>IF('Part II-Sources of Funds'!$I$47="","",IF(-FV('Part II-Sources of Funds'!$K$47/12,12,H32/12,G44)&gt;0,-FV('Part II-Sources of Funds'!$K$47/12,12,H32/12,G44),0))</f>
        <v>0</v>
      </c>
      <c r="I44" s="2392">
        <f>IF('Part II-Sources of Funds'!$I$47="","",IF(-FV('Part II-Sources of Funds'!$K$47/12,12,I32/12,H44)&gt;0,-FV('Part II-Sources of Funds'!$K$47/12,12,I32/12,H44),0))</f>
        <v>0</v>
      </c>
      <c r="J44" s="2392">
        <f>IF('Part II-Sources of Funds'!$I$47="","",IF(-FV('Part II-Sources of Funds'!$K$47/12,12,J32/12,I44)&gt;0,-FV('Part II-Sources of Funds'!$K$47/12,12,J32/12,I44),0))</f>
        <v>0</v>
      </c>
      <c r="K44" s="2392">
        <f>IF('Part II-Sources of Funds'!$I$47="","",IF(-FV('Part II-Sources of Funds'!$K$47/12,12,K32/12,J44)&gt;0,-FV('Part II-Sources of Funds'!$K$47/12,12,K32/12,J44),0))</f>
        <v>0</v>
      </c>
      <c r="L44" s="77"/>
      <c r="M44" s="77"/>
      <c r="N44" s="3913"/>
      <c r="O44" s="3915"/>
      <c r="P44" s="77"/>
      <c r="Q44" s="77"/>
      <c r="R44" s="77"/>
      <c r="S44" s="77"/>
      <c r="T44" s="77"/>
      <c r="U44" s="77"/>
      <c r="V44" s="77"/>
      <c r="W44" s="77"/>
      <c r="X44" s="77"/>
      <c r="Y44" s="77"/>
      <c r="Z44" s="1794" t="s">
        <v>1397</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85" customHeight="1">
      <c r="A46" s="6" t="s">
        <v>479</v>
      </c>
      <c r="B46" s="8">
        <f>K14+1</f>
        <v>11</v>
      </c>
      <c r="C46" s="8">
        <f t="shared" ref="C46:K46" si="16">B46+1</f>
        <v>12</v>
      </c>
      <c r="D46" s="8">
        <f t="shared" si="16"/>
        <v>13</v>
      </c>
      <c r="E46" s="8">
        <f t="shared" si="16"/>
        <v>14</v>
      </c>
      <c r="F46" s="8">
        <f t="shared" si="16"/>
        <v>15</v>
      </c>
      <c r="G46" s="8">
        <f t="shared" si="16"/>
        <v>16</v>
      </c>
      <c r="H46" s="8">
        <f t="shared" si="16"/>
        <v>17</v>
      </c>
      <c r="I46" s="8">
        <f t="shared" si="16"/>
        <v>18</v>
      </c>
      <c r="J46" s="8">
        <f t="shared" si="16"/>
        <v>19</v>
      </c>
      <c r="K46" s="8">
        <f t="shared" si="16"/>
        <v>20</v>
      </c>
      <c r="L46" s="77"/>
      <c r="M46" s="77"/>
      <c r="N46" s="3623" t="s">
        <v>1289</v>
      </c>
      <c r="O46" s="3623"/>
      <c r="P46" s="77"/>
      <c r="Q46" s="77"/>
      <c r="R46" s="77"/>
      <c r="S46" s="77"/>
      <c r="T46" s="77"/>
      <c r="U46" s="77"/>
      <c r="V46" s="77"/>
      <c r="W46" s="77"/>
      <c r="X46" s="77"/>
      <c r="Y46" s="77"/>
      <c r="AA46" s="1795">
        <v>46</v>
      </c>
    </row>
    <row r="47" spans="1:27" ht="13.35" customHeight="1">
      <c r="A47" s="2761" t="s">
        <v>1395</v>
      </c>
      <c r="B47" s="2762">
        <f t="shared" ref="B47:K47" si="17">$B$15*(1+$B$6)^(B46-1)</f>
        <v>983318.91481065075</v>
      </c>
      <c r="C47" s="2762">
        <f t="shared" si="17"/>
        <v>1002985.2931068636</v>
      </c>
      <c r="D47" s="2762">
        <f t="shared" si="17"/>
        <v>1023044.998969001</v>
      </c>
      <c r="E47" s="2762">
        <f t="shared" si="17"/>
        <v>1043505.898948381</v>
      </c>
      <c r="F47" s="2762">
        <f t="shared" si="17"/>
        <v>1064376.0169273487</v>
      </c>
      <c r="G47" s="2762">
        <f t="shared" si="17"/>
        <v>1085663.5372658954</v>
      </c>
      <c r="H47" s="2762">
        <f t="shared" si="17"/>
        <v>1107376.8080112136</v>
      </c>
      <c r="I47" s="2762">
        <f t="shared" si="17"/>
        <v>1129524.3441714379</v>
      </c>
      <c r="J47" s="2762">
        <f t="shared" si="17"/>
        <v>1152114.8310548665</v>
      </c>
      <c r="K47" s="2763">
        <f t="shared" si="17"/>
        <v>1175157.1276759638</v>
      </c>
      <c r="L47" s="77"/>
      <c r="M47" s="77"/>
      <c r="N47" s="3920"/>
      <c r="O47" s="3922"/>
      <c r="P47" s="77"/>
      <c r="Q47" s="77"/>
      <c r="R47" s="77"/>
      <c r="S47" s="77"/>
      <c r="T47" s="77"/>
      <c r="U47" s="77"/>
      <c r="V47" s="77"/>
      <c r="W47" s="77"/>
      <c r="X47" s="77"/>
      <c r="Y47" s="77"/>
      <c r="Z47" s="1794" t="s">
        <v>1422</v>
      </c>
      <c r="AA47" s="1795">
        <v>47</v>
      </c>
    </row>
    <row r="48" spans="1:27" ht="13.35" customHeight="1">
      <c r="A48" s="236" t="s">
        <v>1280</v>
      </c>
      <c r="B48" s="2385">
        <f t="shared" ref="B48:K48" si="18">$B$16*(1+$B$6)^(B46-1)</f>
        <v>19666.378296213017</v>
      </c>
      <c r="C48" s="2385">
        <f t="shared" si="18"/>
        <v>20059.705862137271</v>
      </c>
      <c r="D48" s="2385">
        <f t="shared" si="18"/>
        <v>20460.899979380021</v>
      </c>
      <c r="E48" s="2385">
        <f t="shared" si="18"/>
        <v>20870.117978967621</v>
      </c>
      <c r="F48" s="2385">
        <f t="shared" si="18"/>
        <v>21287.520338546976</v>
      </c>
      <c r="G48" s="2385">
        <f t="shared" si="18"/>
        <v>21713.27074531791</v>
      </c>
      <c r="H48" s="2385">
        <f t="shared" si="18"/>
        <v>22147.53616022427</v>
      </c>
      <c r="I48" s="2385">
        <f t="shared" si="18"/>
        <v>22590.486883428759</v>
      </c>
      <c r="J48" s="2385">
        <f t="shared" si="18"/>
        <v>23042.296621097332</v>
      </c>
      <c r="K48" s="2386">
        <f t="shared" si="18"/>
        <v>23503.142553519276</v>
      </c>
      <c r="L48" s="77"/>
      <c r="M48" s="77"/>
      <c r="N48" s="3916"/>
      <c r="O48" s="3918"/>
      <c r="P48" s="77"/>
      <c r="Q48" s="77"/>
      <c r="R48" s="77"/>
      <c r="S48" s="77"/>
      <c r="T48" s="77"/>
      <c r="U48" s="77"/>
      <c r="V48" s="77"/>
      <c r="W48" s="77"/>
      <c r="X48" s="77"/>
      <c r="Y48" s="77"/>
      <c r="Z48" s="1794" t="s">
        <v>1422</v>
      </c>
      <c r="AA48" s="1795">
        <v>48</v>
      </c>
    </row>
    <row r="49" spans="1:27" ht="13.35" customHeight="1">
      <c r="A49" s="236" t="s">
        <v>1398</v>
      </c>
      <c r="B49" s="2385">
        <f t="shared" ref="B49:K49" si="19">-(B47+B48)*$B$9</f>
        <v>-70208.970517480469</v>
      </c>
      <c r="C49" s="2385">
        <f t="shared" si="19"/>
        <v>-71613.149927830062</v>
      </c>
      <c r="D49" s="2385">
        <f t="shared" si="19"/>
        <v>-73045.412926386678</v>
      </c>
      <c r="E49" s="2385">
        <f t="shared" si="19"/>
        <v>-74506.321184914414</v>
      </c>
      <c r="F49" s="2385">
        <f t="shared" si="19"/>
        <v>-75996.447608612696</v>
      </c>
      <c r="G49" s="2385">
        <f t="shared" si="19"/>
        <v>-77516.376560784935</v>
      </c>
      <c r="H49" s="2385">
        <f t="shared" si="19"/>
        <v>-79066.704092000655</v>
      </c>
      <c r="I49" s="2385">
        <f t="shared" si="19"/>
        <v>-80648.038173840672</v>
      </c>
      <c r="J49" s="2385">
        <f t="shared" si="19"/>
        <v>-82260.998937317476</v>
      </c>
      <c r="K49" s="2386">
        <f t="shared" si="19"/>
        <v>-83906.218916063823</v>
      </c>
      <c r="L49" s="77"/>
      <c r="M49" s="77"/>
      <c r="N49" s="3916"/>
      <c r="O49" s="3918"/>
      <c r="P49" s="77"/>
      <c r="Q49" s="77"/>
      <c r="R49" s="77"/>
      <c r="S49" s="77"/>
      <c r="T49" s="77"/>
      <c r="U49" s="77"/>
      <c r="V49" s="77"/>
      <c r="W49" s="77"/>
      <c r="X49" s="77"/>
      <c r="Y49" s="77"/>
      <c r="Z49" s="1794" t="s">
        <v>1422</v>
      </c>
      <c r="AA49" s="1795">
        <v>49</v>
      </c>
    </row>
    <row r="50" spans="1:27" ht="13.35" customHeight="1">
      <c r="A50" s="236" t="s">
        <v>1401</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916"/>
      <c r="O50" s="3918"/>
      <c r="P50" s="77"/>
      <c r="Q50" s="77"/>
      <c r="R50" s="77"/>
      <c r="S50" s="77"/>
      <c r="T50" s="77"/>
      <c r="U50" s="77"/>
      <c r="V50" s="77"/>
      <c r="W50" s="77"/>
      <c r="X50" s="77"/>
      <c r="Y50" s="77"/>
      <c r="Z50" s="1794" t="s">
        <v>1422</v>
      </c>
      <c r="AA50" s="1795">
        <v>50</v>
      </c>
    </row>
    <row r="51" spans="1:27" ht="13.35" customHeight="1">
      <c r="A51" s="236" t="s">
        <v>1402</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916"/>
      <c r="O51" s="3918"/>
      <c r="P51" s="77"/>
      <c r="Q51" s="77"/>
      <c r="R51" s="77"/>
      <c r="S51" s="77"/>
      <c r="T51" s="77"/>
      <c r="U51" s="77"/>
      <c r="V51" s="77"/>
      <c r="W51" s="77"/>
      <c r="X51" s="77"/>
      <c r="Y51" s="77"/>
      <c r="Z51" s="1794" t="s">
        <v>1422</v>
      </c>
      <c r="AA51" s="1795">
        <v>51</v>
      </c>
    </row>
    <row r="52" spans="1:27" ht="13.35" customHeight="1">
      <c r="A52" s="236" t="s">
        <v>1403</v>
      </c>
      <c r="B52" s="2385">
        <f t="shared" ref="B52:K52" si="20">SUM(B47:B51)</f>
        <v>932776.32258938323</v>
      </c>
      <c r="C52" s="2385">
        <f t="shared" si="20"/>
        <v>951431.84904117079</v>
      </c>
      <c r="D52" s="2385">
        <f t="shared" si="20"/>
        <v>970460.48602199438</v>
      </c>
      <c r="E52" s="2385">
        <f t="shared" si="20"/>
        <v>989869.69574243424</v>
      </c>
      <c r="F52" s="2385">
        <f t="shared" si="20"/>
        <v>1009667.0896572829</v>
      </c>
      <c r="G52" s="2385">
        <f t="shared" si="20"/>
        <v>1029860.4314504284</v>
      </c>
      <c r="H52" s="2385">
        <f t="shared" si="20"/>
        <v>1050457.6400794373</v>
      </c>
      <c r="I52" s="2385">
        <f t="shared" si="20"/>
        <v>1071466.7928810259</v>
      </c>
      <c r="J52" s="2385">
        <f t="shared" si="20"/>
        <v>1092896.1287386464</v>
      </c>
      <c r="K52" s="2386">
        <f t="shared" si="20"/>
        <v>1114754.0513134191</v>
      </c>
      <c r="L52" s="77"/>
      <c r="M52" s="77"/>
      <c r="N52" s="3916"/>
      <c r="O52" s="3918"/>
      <c r="P52" s="77"/>
      <c r="Q52" s="77"/>
      <c r="R52" s="77"/>
      <c r="S52" s="77"/>
      <c r="T52" s="77"/>
      <c r="U52" s="77"/>
      <c r="V52" s="77"/>
      <c r="W52" s="77"/>
      <c r="X52" s="77"/>
      <c r="Y52" s="77"/>
      <c r="Z52" s="1794" t="s">
        <v>1422</v>
      </c>
      <c r="AA52" s="1795">
        <v>52</v>
      </c>
    </row>
    <row r="53" spans="1:27" ht="13.35" customHeight="1">
      <c r="A53" s="236" t="s">
        <v>1404</v>
      </c>
      <c r="B53" s="2385">
        <f t="shared" ref="B53:K53" si="21">$B$21*(1+$B$7)^(B46-1)</f>
        <v>-432741.07414880721</v>
      </c>
      <c r="C53" s="2385">
        <f t="shared" si="21"/>
        <v>-445723.30637327145</v>
      </c>
      <c r="D53" s="2385">
        <f t="shared" si="21"/>
        <v>-459095.00556446949</v>
      </c>
      <c r="E53" s="2385">
        <f t="shared" si="21"/>
        <v>-472867.85573140357</v>
      </c>
      <c r="F53" s="2385">
        <f t="shared" si="21"/>
        <v>-487053.89140334574</v>
      </c>
      <c r="G53" s="2385">
        <f t="shared" si="21"/>
        <v>-501665.50814544613</v>
      </c>
      <c r="H53" s="2385">
        <f t="shared" si="21"/>
        <v>-516715.47338980943</v>
      </c>
      <c r="I53" s="2385">
        <f t="shared" si="21"/>
        <v>-532216.93759150372</v>
      </c>
      <c r="J53" s="2385">
        <f t="shared" si="21"/>
        <v>-548183.44571924885</v>
      </c>
      <c r="K53" s="2386">
        <f t="shared" si="21"/>
        <v>-564628.94909082633</v>
      </c>
      <c r="L53" s="77"/>
      <c r="M53" s="77"/>
      <c r="N53" s="3916"/>
      <c r="O53" s="3918"/>
      <c r="P53" s="77"/>
      <c r="Q53" s="77"/>
      <c r="R53" s="77"/>
      <c r="S53" s="77"/>
      <c r="T53" s="77"/>
      <c r="U53" s="77"/>
      <c r="V53" s="77"/>
      <c r="W53" s="77"/>
      <c r="X53" s="77"/>
      <c r="Y53" s="77"/>
      <c r="Z53" s="1794" t="s">
        <v>1422</v>
      </c>
      <c r="AA53" s="1795">
        <v>53</v>
      </c>
    </row>
    <row r="54" spans="1:27" ht="13.35" customHeight="1">
      <c r="A54" s="236" t="s">
        <v>1405</v>
      </c>
      <c r="B54" s="2385">
        <f>IF(AND('Part VI-Pro Forma'!$G$9="Yes",'Part VI-Pro Forma'!$G$10="Yes"),"Choose One!",IF('Part VI-Pro Forma'!$G$9="Yes",ROUND((-$K$9*(1+'Part VI-Pro Forma'!$B$7)^('Part VI-Pro Forma'!B46-1)),),IF('Part VI-Pro Forma'!$G$10="Yes",ROUND((-(SUM(B47:B50)*'Part VI-Pro Forma'!$K$10)),),"Choose mgt fee")))</f>
        <v>-46639</v>
      </c>
      <c r="C54" s="2385">
        <f>IF(AND('Part VI-Pro Forma'!$G$9="Yes",'Part VI-Pro Forma'!$G$10="Yes"),"Choose One!",IF('Part VI-Pro Forma'!$G$9="Yes",ROUND((-$K$9*(1+'Part VI-Pro Forma'!$B$7)^('Part VI-Pro Forma'!C46-1)),),IF('Part VI-Pro Forma'!$G$10="Yes",ROUND((-(SUM(C47:C50)*'Part VI-Pro Forma'!$K$10)),),"Choose mgt fee")))</f>
        <v>-47572</v>
      </c>
      <c r="D54" s="2385">
        <f>IF(AND('Part VI-Pro Forma'!$G$9="Yes",'Part VI-Pro Forma'!$G$10="Yes"),"Choose One!",IF('Part VI-Pro Forma'!$G$9="Yes",ROUND((-$K$9*(1+'Part VI-Pro Forma'!$B$7)^('Part VI-Pro Forma'!D46-1)),),IF('Part VI-Pro Forma'!$G$10="Yes",ROUND((-(SUM(D47:D50)*'Part VI-Pro Forma'!$K$10)),),"Choose mgt fee")))</f>
        <v>-48523</v>
      </c>
      <c r="E54" s="2385">
        <f>IF(AND('Part VI-Pro Forma'!$G$9="Yes",'Part VI-Pro Forma'!$G$10="Yes"),"Choose One!",IF('Part VI-Pro Forma'!$G$9="Yes",ROUND((-$K$9*(1+'Part VI-Pro Forma'!$B$7)^('Part VI-Pro Forma'!E46-1)),),IF('Part VI-Pro Forma'!$G$10="Yes",ROUND((-(SUM(E47:E50)*'Part VI-Pro Forma'!$K$10)),),"Choose mgt fee")))</f>
        <v>-49493</v>
      </c>
      <c r="F54" s="2385">
        <f>IF(AND('Part VI-Pro Forma'!$G$9="Yes",'Part VI-Pro Forma'!$G$10="Yes"),"Choose One!",IF('Part VI-Pro Forma'!$G$9="Yes",ROUND((-$K$9*(1+'Part VI-Pro Forma'!$B$7)^('Part VI-Pro Forma'!F46-1)),),IF('Part VI-Pro Forma'!$G$10="Yes",ROUND((-(SUM(F47:F50)*'Part VI-Pro Forma'!$K$10)),),"Choose mgt fee")))</f>
        <v>-50483</v>
      </c>
      <c r="G54" s="2385">
        <f>IF(AND('Part VI-Pro Forma'!$G$9="Yes",'Part VI-Pro Forma'!$G$10="Yes"),"Choose One!",IF('Part VI-Pro Forma'!$G$9="Yes",ROUND((-$K$9*(1+'Part VI-Pro Forma'!$B$7)^('Part VI-Pro Forma'!G46-1)),),IF('Part VI-Pro Forma'!$G$10="Yes",ROUND((-(SUM(G47:G50)*'Part VI-Pro Forma'!$K$10)),),"Choose mgt fee")))</f>
        <v>-51493</v>
      </c>
      <c r="H54" s="2385">
        <f>IF(AND('Part VI-Pro Forma'!$G$9="Yes",'Part VI-Pro Forma'!$G$10="Yes"),"Choose One!",IF('Part VI-Pro Forma'!$G$9="Yes",ROUND((-$K$9*(1+'Part VI-Pro Forma'!$B$7)^('Part VI-Pro Forma'!H46-1)),),IF('Part VI-Pro Forma'!$G$10="Yes",ROUND((-(SUM(H47:H50)*'Part VI-Pro Forma'!$K$10)),),"Choose mgt fee")))</f>
        <v>-52523</v>
      </c>
      <c r="I54" s="2385">
        <f>IF(AND('Part VI-Pro Forma'!$G$9="Yes",'Part VI-Pro Forma'!$G$10="Yes"),"Choose One!",IF('Part VI-Pro Forma'!$G$9="Yes",ROUND((-$K$9*(1+'Part VI-Pro Forma'!$B$7)^('Part VI-Pro Forma'!I46-1)),),IF('Part VI-Pro Forma'!$G$10="Yes",ROUND((-(SUM(I47:I50)*'Part VI-Pro Forma'!$K$10)),),"Choose mgt fee")))</f>
        <v>-53573</v>
      </c>
      <c r="J54" s="2385">
        <f>IF(AND('Part VI-Pro Forma'!$G$9="Yes",'Part VI-Pro Forma'!$G$10="Yes"),"Choose One!",IF('Part VI-Pro Forma'!$G$9="Yes",ROUND((-$K$9*(1+'Part VI-Pro Forma'!$B$7)^('Part VI-Pro Forma'!J46-1)),),IF('Part VI-Pro Forma'!$G$10="Yes",ROUND((-(SUM(J47:J50)*'Part VI-Pro Forma'!$K$10)),),"Choose mgt fee")))</f>
        <v>-54645</v>
      </c>
      <c r="K54" s="2386">
        <f>IF(AND('Part VI-Pro Forma'!$G$9="Yes",'Part VI-Pro Forma'!$G$10="Yes"),"Choose One!",IF('Part VI-Pro Forma'!$G$9="Yes",ROUND((-$K$9*(1+'Part VI-Pro Forma'!$B$7)^('Part VI-Pro Forma'!K46-1)),),IF('Part VI-Pro Forma'!$G$10="Yes",ROUND((-(SUM(K47:K50)*'Part VI-Pro Forma'!$K$10)),),"Choose mgt fee")))</f>
        <v>-55738</v>
      </c>
      <c r="L54" s="77"/>
      <c r="M54" s="77"/>
      <c r="N54" s="3916"/>
      <c r="O54" s="3918"/>
      <c r="P54" s="77"/>
      <c r="Q54" s="77"/>
      <c r="R54" s="77"/>
      <c r="S54" s="77"/>
      <c r="T54" s="77"/>
      <c r="U54" s="77"/>
      <c r="V54" s="77"/>
      <c r="W54" s="77"/>
      <c r="X54" s="77"/>
      <c r="Y54" s="77"/>
      <c r="Z54" s="1794" t="s">
        <v>1422</v>
      </c>
      <c r="AA54" s="1795">
        <v>54</v>
      </c>
    </row>
    <row r="55" spans="1:27" ht="13.35" customHeight="1">
      <c r="A55" s="236" t="s">
        <v>1406</v>
      </c>
      <c r="B55" s="2385">
        <f t="shared" ref="B55:K55" si="22">$B$23*(1+$B$8)^(B46-1)</f>
        <v>-24190.494828194191</v>
      </c>
      <c r="C55" s="2385">
        <f t="shared" si="22"/>
        <v>-24916.209673040019</v>
      </c>
      <c r="D55" s="2385">
        <f t="shared" si="22"/>
        <v>-25663.695963231214</v>
      </c>
      <c r="E55" s="2385">
        <f t="shared" si="22"/>
        <v>-26433.606842128149</v>
      </c>
      <c r="F55" s="2385">
        <f t="shared" si="22"/>
        <v>-27226.615047391999</v>
      </c>
      <c r="G55" s="2385">
        <f t="shared" si="22"/>
        <v>-28043.413498813759</v>
      </c>
      <c r="H55" s="2385">
        <f t="shared" si="22"/>
        <v>-28884.715903778168</v>
      </c>
      <c r="I55" s="2385">
        <f t="shared" si="22"/>
        <v>-29751.257380891511</v>
      </c>
      <c r="J55" s="2385">
        <f t="shared" si="22"/>
        <v>-30643.795102318258</v>
      </c>
      <c r="K55" s="2386">
        <f t="shared" si="22"/>
        <v>-31563.108955387805</v>
      </c>
      <c r="L55" s="77"/>
      <c r="M55" s="77"/>
      <c r="N55" s="3916"/>
      <c r="O55" s="3918"/>
      <c r="P55" s="77"/>
      <c r="Q55" s="58"/>
      <c r="R55" s="2387"/>
      <c r="S55" s="2387"/>
      <c r="T55" s="77"/>
      <c r="U55" s="77"/>
      <c r="V55" s="77"/>
      <c r="W55" s="77"/>
      <c r="X55" s="77"/>
      <c r="Y55" s="77"/>
      <c r="Z55" s="1794" t="s">
        <v>1422</v>
      </c>
      <c r="AA55" s="1795">
        <v>55</v>
      </c>
    </row>
    <row r="56" spans="1:27" ht="13.35" customHeight="1">
      <c r="A56" s="236" t="s">
        <v>1407</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916"/>
      <c r="O56" s="3918"/>
      <c r="P56" s="77"/>
      <c r="Q56" s="77"/>
      <c r="R56" s="77"/>
      <c r="S56" s="77"/>
      <c r="T56" s="77"/>
      <c r="U56" s="77"/>
      <c r="V56" s="77"/>
      <c r="W56" s="77"/>
      <c r="X56" s="77"/>
      <c r="Y56" s="77"/>
      <c r="Z56" s="1794" t="s">
        <v>1422</v>
      </c>
      <c r="AA56" s="1795">
        <v>56</v>
      </c>
    </row>
    <row r="57" spans="1:27" ht="13.35" customHeight="1">
      <c r="A57" s="236" t="s">
        <v>1408</v>
      </c>
      <c r="B57" s="2385">
        <f t="shared" ref="B57:K57" si="23">SUM(B52:B56)</f>
        <v>429205.75361238181</v>
      </c>
      <c r="C57" s="2385">
        <f t="shared" si="23"/>
        <v>433220.33299485932</v>
      </c>
      <c r="D57" s="2385">
        <f t="shared" si="23"/>
        <v>437178.78449429368</v>
      </c>
      <c r="E57" s="2385">
        <f t="shared" si="23"/>
        <v>441075.23316890252</v>
      </c>
      <c r="F57" s="2385">
        <f t="shared" si="23"/>
        <v>444903.58320654521</v>
      </c>
      <c r="G57" s="2385">
        <f t="shared" si="23"/>
        <v>448658.5098061685</v>
      </c>
      <c r="H57" s="2385">
        <f t="shared" si="23"/>
        <v>452334.45078584965</v>
      </c>
      <c r="I57" s="2385">
        <f t="shared" si="23"/>
        <v>455925.59790863068</v>
      </c>
      <c r="J57" s="2385">
        <f t="shared" si="23"/>
        <v>459423.88791707926</v>
      </c>
      <c r="K57" s="2388">
        <f t="shared" si="23"/>
        <v>462823.99326720502</v>
      </c>
      <c r="L57" s="77"/>
      <c r="M57" s="77"/>
      <c r="N57" s="3916"/>
      <c r="O57" s="3918"/>
      <c r="P57" s="77"/>
      <c r="Q57" s="77"/>
      <c r="R57" s="77"/>
      <c r="S57" s="77"/>
      <c r="T57" s="77"/>
      <c r="U57" s="77"/>
      <c r="V57" s="77"/>
      <c r="W57" s="77"/>
      <c r="X57" s="77"/>
      <c r="Y57" s="77"/>
      <c r="Z57" s="1794" t="s">
        <v>1422</v>
      </c>
      <c r="AA57" s="1795">
        <v>57</v>
      </c>
    </row>
    <row r="58" spans="1:27" ht="13.35" customHeight="1">
      <c r="A58" s="236" t="str">
        <f>$A26</f>
        <v>Mortgage A</v>
      </c>
      <c r="B58" s="2765">
        <f>IF('Part II-Sources of Funds'!$P$42="", 0,-'Part II-Sources of Funds'!$P$42)</f>
        <v>-318556.61698247807</v>
      </c>
      <c r="C58" s="2765">
        <f>IF('Part II-Sources of Funds'!$P$42="", 0,-'Part II-Sources of Funds'!$P$42)</f>
        <v>-318556.61698247807</v>
      </c>
      <c r="D58" s="2765">
        <f>IF('Part II-Sources of Funds'!$P$42="", 0,-'Part II-Sources of Funds'!$P$42)</f>
        <v>-318556.61698247807</v>
      </c>
      <c r="E58" s="2765">
        <f>IF('Part II-Sources of Funds'!$P$42="", 0,-'Part II-Sources of Funds'!$P$42)</f>
        <v>-318556.61698247807</v>
      </c>
      <c r="F58" s="2765">
        <f>IF('Part II-Sources of Funds'!$P$42="", 0,-'Part II-Sources of Funds'!$P$42)</f>
        <v>-318556.61698247807</v>
      </c>
      <c r="G58" s="2765">
        <f>IF('Part II-Sources of Funds'!$P$42="", 0,-'Part II-Sources of Funds'!$P$42)</f>
        <v>-318556.61698247807</v>
      </c>
      <c r="H58" s="2765">
        <f>IF('Part II-Sources of Funds'!$P$42="", 0,-'Part II-Sources of Funds'!$P$42)</f>
        <v>-318556.61698247807</v>
      </c>
      <c r="I58" s="2765">
        <f>IF('Part II-Sources of Funds'!$P$42="", 0,-'Part II-Sources of Funds'!$P$42)</f>
        <v>-318556.61698247807</v>
      </c>
      <c r="J58" s="2765">
        <f>IF('Part II-Sources of Funds'!$P$42="", 0,-'Part II-Sources of Funds'!$P$42)</f>
        <v>-318556.61698247807</v>
      </c>
      <c r="K58" s="2765">
        <f>IF('Part II-Sources of Funds'!$P$42="", 0,-'Part II-Sources of Funds'!$P$42)</f>
        <v>-318556.61698247807</v>
      </c>
      <c r="L58" s="77"/>
      <c r="M58" s="77"/>
      <c r="N58" s="3916"/>
      <c r="O58" s="3918"/>
      <c r="P58" s="77"/>
      <c r="Q58" s="77"/>
      <c r="R58" s="77"/>
      <c r="S58" s="77"/>
      <c r="T58" s="77"/>
      <c r="U58" s="77"/>
      <c r="V58" s="77"/>
      <c r="W58" s="77"/>
      <c r="X58" s="77"/>
      <c r="Y58" s="77"/>
      <c r="Z58" s="1794" t="s">
        <v>1422</v>
      </c>
      <c r="AA58" s="1795">
        <v>58</v>
      </c>
    </row>
    <row r="59" spans="1:27" ht="13.35" customHeight="1">
      <c r="A59" s="236" t="str">
        <f>$A27</f>
        <v>Mortgage B</v>
      </c>
      <c r="B59" s="2389">
        <f>IF('Part II-Sources of Funds'!$P$43="", 0,-'Part II-Sources of Funds'!$P$43)</f>
        <v>0</v>
      </c>
      <c r="C59" s="2389">
        <f>IF('Part II-Sources of Funds'!$P$43="", 0,-'Part II-Sources of Funds'!$P$43)</f>
        <v>0</v>
      </c>
      <c r="D59" s="2389">
        <f>IF('Part II-Sources of Funds'!$P$43="", 0,-'Part II-Sources of Funds'!$P$43)</f>
        <v>0</v>
      </c>
      <c r="E59" s="2389">
        <f>IF('Part II-Sources of Funds'!$P$43="", 0,-'Part II-Sources of Funds'!$P$43)</f>
        <v>0</v>
      </c>
      <c r="F59" s="2389">
        <f>IF('Part II-Sources of Funds'!$P$43="", 0,-'Part II-Sources of Funds'!$P$43)</f>
        <v>0</v>
      </c>
      <c r="G59" s="2389">
        <f>IF('Part II-Sources of Funds'!$P$43="", 0,-'Part II-Sources of Funds'!$P$43)</f>
        <v>0</v>
      </c>
      <c r="H59" s="2389">
        <f>IF('Part II-Sources of Funds'!$P$43="", 0,-'Part II-Sources of Funds'!$P$43)</f>
        <v>0</v>
      </c>
      <c r="I59" s="2389">
        <f>IF('Part II-Sources of Funds'!$P$43="", 0,-'Part II-Sources of Funds'!$P$43)</f>
        <v>0</v>
      </c>
      <c r="J59" s="2389">
        <f>IF('Part II-Sources of Funds'!$P$43="", 0,-'Part II-Sources of Funds'!$P$43)</f>
        <v>0</v>
      </c>
      <c r="K59" s="2389">
        <f>IF('Part II-Sources of Funds'!$P$43="", 0,-'Part II-Sources of Funds'!$P$43)</f>
        <v>0</v>
      </c>
      <c r="L59" s="77"/>
      <c r="M59" s="77"/>
      <c r="N59" s="3916"/>
      <c r="O59" s="3918"/>
      <c r="P59" s="77"/>
      <c r="Q59" s="77"/>
      <c r="R59" s="77"/>
      <c r="S59" s="77"/>
      <c r="T59" s="77"/>
      <c r="U59" s="77"/>
      <c r="V59" s="77"/>
      <c r="W59" s="77"/>
      <c r="X59" s="77"/>
      <c r="Y59" s="77"/>
      <c r="Z59" s="1794" t="s">
        <v>1422</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916"/>
      <c r="O60" s="3918"/>
      <c r="P60" s="77"/>
      <c r="Q60" s="77"/>
      <c r="R60" s="77"/>
      <c r="S60" s="77"/>
      <c r="T60" s="77"/>
      <c r="U60" s="77"/>
      <c r="V60" s="77"/>
      <c r="W60" s="77"/>
      <c r="X60" s="77"/>
      <c r="Y60" s="77"/>
      <c r="Z60" s="1794" t="s">
        <v>1422</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916"/>
      <c r="O61" s="3918"/>
      <c r="P61" s="77"/>
      <c r="Q61" s="77"/>
      <c r="R61" s="77"/>
      <c r="S61" s="77"/>
      <c r="T61" s="77"/>
      <c r="U61" s="77"/>
      <c r="V61" s="77"/>
      <c r="W61" s="77"/>
      <c r="X61" s="77"/>
      <c r="Y61" s="77"/>
      <c r="Z61" s="1794" t="s">
        <v>1422</v>
      </c>
      <c r="AA61" s="1795">
        <v>61</v>
      </c>
    </row>
    <row r="62" spans="1:27" ht="13.35" customHeight="1">
      <c r="A62" s="236" t="s">
        <v>1410</v>
      </c>
      <c r="B62" s="2390"/>
      <c r="C62" s="2390"/>
      <c r="D62" s="2390"/>
      <c r="E62" s="2390"/>
      <c r="F62" s="2390"/>
      <c r="G62" s="2390"/>
      <c r="H62" s="2390"/>
      <c r="I62" s="2390"/>
      <c r="J62" s="2390"/>
      <c r="K62" s="2390"/>
      <c r="L62" s="77"/>
      <c r="M62" s="77"/>
      <c r="N62" s="3916"/>
      <c r="O62" s="3918"/>
      <c r="P62" s="77"/>
      <c r="Q62" s="58"/>
      <c r="R62" s="2387"/>
      <c r="S62" s="77"/>
      <c r="T62" s="77"/>
      <c r="U62" s="77"/>
      <c r="V62" s="77"/>
      <c r="W62" s="77"/>
      <c r="X62" s="77"/>
      <c r="Y62" s="77"/>
      <c r="Z62" s="1794" t="s">
        <v>1422</v>
      </c>
      <c r="AA62" s="1795">
        <v>62</v>
      </c>
    </row>
    <row r="63" spans="1:27" ht="13.35" customHeight="1">
      <c r="A63" s="236" t="s">
        <v>1411</v>
      </c>
      <c r="B63" s="2389">
        <f>K31*1.03</f>
        <v>-10079.372845080916</v>
      </c>
      <c r="C63" s="2389">
        <f>B63*1.03</f>
        <v>-10381.754030433343</v>
      </c>
      <c r="D63" s="2389">
        <f t="shared" ref="D63:K63" si="24">C63*1.03</f>
        <v>-10693.206651346343</v>
      </c>
      <c r="E63" s="2389">
        <f t="shared" si="24"/>
        <v>-11014.002850886734</v>
      </c>
      <c r="F63" s="2389">
        <f t="shared" si="24"/>
        <v>-11344.422936413337</v>
      </c>
      <c r="G63" s="2389">
        <f t="shared" si="24"/>
        <v>-11684.755624505737</v>
      </c>
      <c r="H63" s="2389">
        <f t="shared" si="24"/>
        <v>-12035.298293240909</v>
      </c>
      <c r="I63" s="2389">
        <f t="shared" si="24"/>
        <v>-12396.357242038137</v>
      </c>
      <c r="J63" s="2389">
        <f t="shared" si="24"/>
        <v>-12768.247959299282</v>
      </c>
      <c r="K63" s="2389">
        <f t="shared" si="24"/>
        <v>-13151.29539807826</v>
      </c>
      <c r="L63" s="77"/>
      <c r="M63" s="77"/>
      <c r="N63" s="3916"/>
      <c r="O63" s="3918"/>
      <c r="P63" s="77"/>
      <c r="Q63" s="77"/>
      <c r="R63" s="77"/>
      <c r="S63" s="77"/>
      <c r="T63" s="77"/>
      <c r="U63" s="77"/>
      <c r="V63" s="77"/>
      <c r="W63" s="77"/>
      <c r="X63" s="77"/>
      <c r="Y63" s="77"/>
      <c r="Z63" s="1794" t="s">
        <v>1422</v>
      </c>
      <c r="AA63" s="1795">
        <v>63</v>
      </c>
    </row>
    <row r="64" spans="1:27" ht="13.35" customHeight="1">
      <c r="A64" s="236" t="s">
        <v>1412</v>
      </c>
      <c r="B64" s="2392">
        <f>IF('Part II-Sources of Funds'!$P$47="", 0,-'Part II-Sources of Funds'!$P$47)</f>
        <v>0</v>
      </c>
      <c r="C64" s="2392">
        <f>IF('Part II-Sources of Funds'!$P$47="", 0,-'Part II-Sources of Funds'!$P$47)</f>
        <v>0</v>
      </c>
      <c r="D64" s="2392">
        <f>IF('Part II-Sources of Funds'!$P$47="", 0,-'Part II-Sources of Funds'!$P$47)</f>
        <v>0</v>
      </c>
      <c r="E64" s="2392">
        <f>IF('Part II-Sources of Funds'!$P$47="", 0,-'Part II-Sources of Funds'!$P$47)</f>
        <v>0</v>
      </c>
      <c r="F64" s="2392">
        <f>IF('Part II-Sources of Funds'!$P$47="", 0,-'Part II-Sources of Funds'!$P$47)</f>
        <v>0</v>
      </c>
      <c r="G64" s="2392"/>
      <c r="H64" s="2392"/>
      <c r="I64" s="2392"/>
      <c r="J64" s="2392"/>
      <c r="K64" s="2392"/>
      <c r="L64" s="77"/>
      <c r="M64" s="77"/>
      <c r="N64" s="3916"/>
      <c r="O64" s="3918"/>
      <c r="P64" s="77"/>
      <c r="Q64" s="77"/>
      <c r="R64" s="77"/>
      <c r="S64" s="77"/>
      <c r="T64" s="77"/>
      <c r="U64" s="77"/>
      <c r="V64" s="77"/>
      <c r="W64" s="77"/>
      <c r="X64" s="77"/>
      <c r="Y64" s="77"/>
      <c r="Z64" s="1794" t="s">
        <v>1422</v>
      </c>
      <c r="AA64" s="1795">
        <v>64</v>
      </c>
    </row>
    <row r="65" spans="1:27" ht="13.35" customHeight="1">
      <c r="A65" s="236" t="s">
        <v>1413</v>
      </c>
      <c r="B65" s="2385">
        <f t="shared" ref="B65:K65" si="25">SUM(B57:B64)</f>
        <v>100569.76378482283</v>
      </c>
      <c r="C65" s="2385">
        <f t="shared" si="25"/>
        <v>104281.96198194791</v>
      </c>
      <c r="D65" s="2385">
        <f t="shared" si="25"/>
        <v>107928.96086046926</v>
      </c>
      <c r="E65" s="2385">
        <f t="shared" si="25"/>
        <v>111504.61333553771</v>
      </c>
      <c r="F65" s="2385">
        <f t="shared" si="25"/>
        <v>115002.54328765381</v>
      </c>
      <c r="G65" s="2385">
        <f t="shared" si="25"/>
        <v>118417.1371991847</v>
      </c>
      <c r="H65" s="2385">
        <f t="shared" si="25"/>
        <v>121742.53551013068</v>
      </c>
      <c r="I65" s="2385">
        <f t="shared" si="25"/>
        <v>124972.62368411447</v>
      </c>
      <c r="J65" s="2385">
        <f t="shared" si="25"/>
        <v>128099.02297530192</v>
      </c>
      <c r="K65" s="2763">
        <f t="shared" si="25"/>
        <v>131116.08088664871</v>
      </c>
      <c r="L65" s="77"/>
      <c r="M65" s="77"/>
      <c r="N65" s="3916"/>
      <c r="O65" s="3918"/>
      <c r="P65" s="77"/>
      <c r="Q65" s="77"/>
      <c r="R65" s="77"/>
      <c r="S65" s="77"/>
      <c r="T65" s="77"/>
      <c r="U65" s="77"/>
      <c r="V65" s="77"/>
      <c r="W65" s="77"/>
      <c r="X65" s="77"/>
      <c r="Y65" s="77"/>
      <c r="Z65" s="1794" t="s">
        <v>1422</v>
      </c>
      <c r="AA65" s="1795">
        <v>65</v>
      </c>
    </row>
    <row r="66" spans="1:27" ht="13.35" customHeight="1">
      <c r="A66" s="236" t="str">
        <f>$A34</f>
        <v>DCR Mortgage A</v>
      </c>
      <c r="B66" s="2393">
        <f t="shared" ref="B66:K66" si="26">IF(B58=0,"",-B57/B58)</f>
        <v>1.347345277828556</v>
      </c>
      <c r="C66" s="2393">
        <f t="shared" si="26"/>
        <v>1.3599476824513372</v>
      </c>
      <c r="D66" s="2393">
        <f t="shared" si="26"/>
        <v>1.3723738927022204</v>
      </c>
      <c r="E66" s="2393">
        <f t="shared" si="26"/>
        <v>1.3846054662024601</v>
      </c>
      <c r="F66" s="2393">
        <f t="shared" si="26"/>
        <v>1.3966232672260477</v>
      </c>
      <c r="G66" s="2393">
        <f t="shared" si="26"/>
        <v>1.4084105803736815</v>
      </c>
      <c r="H66" s="2393">
        <f t="shared" si="26"/>
        <v>1.41994994506967</v>
      </c>
      <c r="I66" s="2393">
        <f t="shared" si="26"/>
        <v>1.4312231283323444</v>
      </c>
      <c r="J66" s="2393">
        <f t="shared" si="26"/>
        <v>1.4422048183113065</v>
      </c>
      <c r="K66" s="2394">
        <f t="shared" si="26"/>
        <v>1.4528782909967375</v>
      </c>
      <c r="L66" s="77"/>
      <c r="M66" s="77"/>
      <c r="N66" s="3916"/>
      <c r="O66" s="3918"/>
      <c r="P66" s="77"/>
      <c r="Q66" s="77"/>
      <c r="R66" s="77"/>
      <c r="S66" s="77"/>
      <c r="T66" s="77"/>
      <c r="U66" s="77"/>
      <c r="V66" s="77"/>
      <c r="W66" s="77"/>
      <c r="X66" s="77"/>
      <c r="Y66" s="77"/>
      <c r="Z66" s="1794" t="s">
        <v>1422</v>
      </c>
      <c r="AA66" s="1795">
        <v>66</v>
      </c>
    </row>
    <row r="67" spans="1:27" ht="13.35" customHeight="1">
      <c r="A67" s="236" t="str">
        <f>$A35</f>
        <v>DCR Mortgage B</v>
      </c>
      <c r="B67" s="2393" t="str">
        <f t="shared" ref="B67:K67" si="27">IF(B59=0,"",-(B57+B58)/B59)</f>
        <v/>
      </c>
      <c r="C67" s="2393" t="str">
        <f t="shared" si="27"/>
        <v/>
      </c>
      <c r="D67" s="2393" t="str">
        <f t="shared" si="27"/>
        <v/>
      </c>
      <c r="E67" s="2393" t="str">
        <f t="shared" si="27"/>
        <v/>
      </c>
      <c r="F67" s="2393" t="str">
        <f t="shared" si="27"/>
        <v/>
      </c>
      <c r="G67" s="2393" t="str">
        <f t="shared" si="27"/>
        <v/>
      </c>
      <c r="H67" s="2393" t="str">
        <f t="shared" si="27"/>
        <v/>
      </c>
      <c r="I67" s="2393" t="str">
        <f t="shared" si="27"/>
        <v/>
      </c>
      <c r="J67" s="2393" t="str">
        <f t="shared" si="27"/>
        <v/>
      </c>
      <c r="K67" s="2394" t="str">
        <f t="shared" si="27"/>
        <v/>
      </c>
      <c r="L67" s="77"/>
      <c r="M67" s="77"/>
      <c r="N67" s="3916"/>
      <c r="O67" s="3918"/>
      <c r="P67" s="77"/>
      <c r="Q67" s="77"/>
      <c r="R67" s="77"/>
      <c r="S67" s="77"/>
      <c r="T67" s="77"/>
      <c r="U67" s="77"/>
      <c r="V67" s="77"/>
      <c r="W67" s="77"/>
      <c r="X67" s="77"/>
      <c r="Y67" s="77"/>
      <c r="Z67" s="1794" t="s">
        <v>1422</v>
      </c>
      <c r="AA67" s="1795">
        <v>67</v>
      </c>
    </row>
    <row r="68" spans="1:27" ht="13.35" customHeight="1">
      <c r="A68" s="236" t="str">
        <f>$A36</f>
        <v>DCR Mortgage C</v>
      </c>
      <c r="B68" s="2393" t="str">
        <f t="shared" ref="B68:K68" si="28">IF(B60=0,"",-(B57+B58+B59)/B60)</f>
        <v/>
      </c>
      <c r="C68" s="2393" t="str">
        <f t="shared" si="28"/>
        <v/>
      </c>
      <c r="D68" s="2393" t="str">
        <f t="shared" si="28"/>
        <v/>
      </c>
      <c r="E68" s="2393" t="str">
        <f t="shared" si="28"/>
        <v/>
      </c>
      <c r="F68" s="2393" t="str">
        <f t="shared" si="28"/>
        <v/>
      </c>
      <c r="G68" s="2393" t="str">
        <f t="shared" si="28"/>
        <v/>
      </c>
      <c r="H68" s="2393" t="str">
        <f t="shared" si="28"/>
        <v/>
      </c>
      <c r="I68" s="2393" t="str">
        <f t="shared" si="28"/>
        <v/>
      </c>
      <c r="J68" s="2393" t="str">
        <f t="shared" si="28"/>
        <v/>
      </c>
      <c r="K68" s="2394" t="str">
        <f t="shared" si="28"/>
        <v/>
      </c>
      <c r="L68" s="77"/>
      <c r="M68" s="77"/>
      <c r="N68" s="3916"/>
      <c r="O68" s="3918"/>
      <c r="P68" s="77"/>
      <c r="Q68" s="77"/>
      <c r="R68" s="77"/>
      <c r="S68" s="77"/>
      <c r="T68" s="77"/>
      <c r="U68" s="77"/>
      <c r="V68" s="77"/>
      <c r="W68" s="77"/>
      <c r="X68" s="77"/>
      <c r="Y68" s="77"/>
      <c r="Z68" s="1794" t="s">
        <v>1422</v>
      </c>
      <c r="AA68" s="1795">
        <v>68</v>
      </c>
    </row>
    <row r="69" spans="1:27" ht="13.35" customHeight="1">
      <c r="A69" s="236" t="str">
        <f>$A37</f>
        <v>DCR Other Source</v>
      </c>
      <c r="B69" s="2393" t="str">
        <f t="shared" ref="B69:K69" si="29">IF(B61=0,"",-(B57+B58+B59+B60)/B61)</f>
        <v/>
      </c>
      <c r="C69" s="2393" t="str">
        <f t="shared" si="29"/>
        <v/>
      </c>
      <c r="D69" s="2393" t="str">
        <f t="shared" si="29"/>
        <v/>
      </c>
      <c r="E69" s="2393" t="str">
        <f t="shared" si="29"/>
        <v/>
      </c>
      <c r="F69" s="2393" t="str">
        <f t="shared" si="29"/>
        <v/>
      </c>
      <c r="G69" s="2393" t="str">
        <f t="shared" si="29"/>
        <v/>
      </c>
      <c r="H69" s="2393" t="str">
        <f t="shared" si="29"/>
        <v/>
      </c>
      <c r="I69" s="2393" t="str">
        <f t="shared" si="29"/>
        <v/>
      </c>
      <c r="J69" s="2393" t="str">
        <f t="shared" si="29"/>
        <v/>
      </c>
      <c r="K69" s="2394" t="str">
        <f t="shared" si="29"/>
        <v/>
      </c>
      <c r="L69" s="77"/>
      <c r="M69" s="77"/>
      <c r="N69" s="3916"/>
      <c r="O69" s="3918"/>
      <c r="P69" s="77"/>
      <c r="Q69" s="77"/>
      <c r="R69" s="77"/>
      <c r="S69" s="77"/>
      <c r="T69" s="77"/>
      <c r="U69" s="77"/>
      <c r="V69" s="77"/>
      <c r="W69" s="77"/>
      <c r="X69" s="77"/>
      <c r="Y69" s="77"/>
      <c r="Z69" s="1794" t="s">
        <v>1422</v>
      </c>
      <c r="AA69" s="1795">
        <v>69</v>
      </c>
    </row>
    <row r="70" spans="1:27" ht="13.35" customHeight="1">
      <c r="A70" s="236" t="s">
        <v>1415</v>
      </c>
      <c r="B70" s="2393">
        <f t="shared" ref="B70:K70" si="30">IF(AND(B58=0,B59=0,B60=0,B61=0),"",-B57/(B58+B59+B60+B61))</f>
        <v>1.347345277828556</v>
      </c>
      <c r="C70" s="2393">
        <f t="shared" si="30"/>
        <v>1.3599476824513372</v>
      </c>
      <c r="D70" s="2393">
        <f t="shared" si="30"/>
        <v>1.3723738927022204</v>
      </c>
      <c r="E70" s="2393">
        <f t="shared" si="30"/>
        <v>1.3846054662024601</v>
      </c>
      <c r="F70" s="2393">
        <f t="shared" si="30"/>
        <v>1.3966232672260477</v>
      </c>
      <c r="G70" s="2393">
        <f t="shared" si="30"/>
        <v>1.4084105803736815</v>
      </c>
      <c r="H70" s="2393">
        <f t="shared" si="30"/>
        <v>1.41994994506967</v>
      </c>
      <c r="I70" s="2393">
        <f t="shared" si="30"/>
        <v>1.4312231283323444</v>
      </c>
      <c r="J70" s="2393">
        <f t="shared" si="30"/>
        <v>1.4422048183113065</v>
      </c>
      <c r="K70" s="2394">
        <f t="shared" si="30"/>
        <v>1.4528782909967375</v>
      </c>
      <c r="L70" s="77"/>
      <c r="M70" s="77"/>
      <c r="N70" s="3916"/>
      <c r="O70" s="3918"/>
      <c r="P70" s="77"/>
      <c r="Q70" s="77"/>
      <c r="R70" s="77"/>
      <c r="S70" s="77"/>
      <c r="T70" s="77"/>
      <c r="U70" s="77"/>
      <c r="V70" s="77"/>
      <c r="W70" s="77"/>
      <c r="X70" s="77"/>
      <c r="Y70" s="77"/>
      <c r="Z70" s="1794" t="s">
        <v>1422</v>
      </c>
      <c r="AA70" s="1795">
        <v>70</v>
      </c>
    </row>
    <row r="71" spans="1:27" ht="13.35" customHeight="1">
      <c r="A71" s="236" t="s">
        <v>1416</v>
      </c>
      <c r="B71" s="1793">
        <f t="shared" ref="B71:K71" si="31">IF(OR(B54="Choose mgt fee",B54="Choose One!"),"",(B47+B48+B49+B50+B51) / -(B53+B54+B55))</f>
        <v>1.8523249372661095</v>
      </c>
      <c r="C71" s="1793">
        <f t="shared" si="31"/>
        <v>1.8359913270552315</v>
      </c>
      <c r="D71" s="1793">
        <f t="shared" si="31"/>
        <v>1.8197895844577086</v>
      </c>
      <c r="E71" s="1793">
        <f t="shared" si="31"/>
        <v>1.8037166248006811</v>
      </c>
      <c r="F71" s="1793">
        <f t="shared" si="31"/>
        <v>1.7877697091346192</v>
      </c>
      <c r="G71" s="1793">
        <f t="shared" si="31"/>
        <v>1.7719494604162405</v>
      </c>
      <c r="H71" s="1793">
        <f t="shared" si="31"/>
        <v>1.7562563346190914</v>
      </c>
      <c r="I71" s="1793">
        <f t="shared" si="31"/>
        <v>1.7406906339210608</v>
      </c>
      <c r="J71" s="1793">
        <f t="shared" si="31"/>
        <v>1.7252470721072799</v>
      </c>
      <c r="K71" s="2395">
        <f t="shared" si="31"/>
        <v>1.709928906567453</v>
      </c>
      <c r="L71" s="77"/>
      <c r="M71" s="77"/>
      <c r="N71" s="3916"/>
      <c r="O71" s="3918"/>
      <c r="P71" s="77"/>
      <c r="Q71" s="77"/>
      <c r="R71" s="77"/>
      <c r="S71" s="77"/>
      <c r="T71" s="77"/>
      <c r="U71" s="77"/>
      <c r="V71" s="77"/>
      <c r="W71" s="77"/>
      <c r="X71" s="77"/>
      <c r="Y71" s="77"/>
      <c r="Z71" s="1794" t="s">
        <v>1422</v>
      </c>
      <c r="AA71" s="1795">
        <v>71</v>
      </c>
    </row>
    <row r="72" spans="1:27" ht="13.35" customHeight="1">
      <c r="A72" s="236" t="s">
        <v>1417</v>
      </c>
      <c r="B72" s="2766">
        <f>IF('Part II-Sources of Funds'!$I$42="","",-FV('Part II-Sources of Funds'!$K$42/12,12,B58/12,K40))</f>
        <v>3853762.5161119327</v>
      </c>
      <c r="C72" s="2766">
        <f>IF('Part II-Sources of Funds'!$I$42="","",-FV('Part II-Sources of Funds'!$K$42/12,12,C58/12,B72))</f>
        <v>3813275.9013816142</v>
      </c>
      <c r="D72" s="2766">
        <f>IF('Part II-Sources of Funds'!$I$42="","",-FV('Part II-Sources of Funds'!$K$42/12,12,D58/12,C72))</f>
        <v>3769754.4789427579</v>
      </c>
      <c r="E72" s="2766">
        <f>IF('Part II-Sources of Funds'!$I$42="","",-FV('Part II-Sources of Funds'!$K$42/12,12,E58/12,D72))</f>
        <v>3722970.7647765307</v>
      </c>
      <c r="F72" s="2766">
        <f>IF('Part II-Sources of Funds'!$I$42="","",-FV('Part II-Sources of Funds'!$K$42/12,12,F58/12,E72))</f>
        <v>3672680.2230493571</v>
      </c>
      <c r="G72" s="2766">
        <f>IF('Part II-Sources of Funds'!$I$42="","",-FV('Part II-Sources of Funds'!$K$42/12,12,G58/12,F72))</f>
        <v>3618619.9879379179</v>
      </c>
      <c r="H72" s="2766">
        <f>IF('Part II-Sources of Funds'!$I$42="","",-FV('Part II-Sources of Funds'!$K$42/12,12,H58/12,G72))</f>
        <v>3560507.4896443286</v>
      </c>
      <c r="I72" s="2766">
        <f>IF('Part II-Sources of Funds'!$I$42="","",-FV('Part II-Sources of Funds'!$K$42/12,12,I58/12,H72))</f>
        <v>3498038.9774197522</v>
      </c>
      <c r="J72" s="2766">
        <f>IF('Part II-Sources of Funds'!$I$42="","",-FV('Part II-Sources of Funds'!$K$42/12,12,J58/12,I72))</f>
        <v>3430887.9318763781</v>
      </c>
      <c r="K72" s="2766">
        <f>IF('Part II-Sources of Funds'!$I$42="","",-FV('Part II-Sources of Funds'!$K$42/12,12,K58/12,J72))</f>
        <v>3358703.3582890108</v>
      </c>
      <c r="L72" s="77"/>
      <c r="M72" s="77"/>
      <c r="N72" s="3916"/>
      <c r="O72" s="3918"/>
      <c r="P72" s="77"/>
      <c r="Q72" s="77"/>
      <c r="R72" s="77"/>
      <c r="S72" s="77"/>
      <c r="T72" s="77"/>
      <c r="U72" s="77"/>
      <c r="V72" s="77"/>
      <c r="W72" s="77"/>
      <c r="X72" s="77"/>
      <c r="Y72" s="77"/>
      <c r="Z72" s="1794" t="s">
        <v>1422</v>
      </c>
      <c r="AA72" s="1795">
        <v>72</v>
      </c>
    </row>
    <row r="73" spans="1:27" ht="13.35" customHeight="1">
      <c r="A73" s="236" t="s">
        <v>1418</v>
      </c>
      <c r="B73" s="2389" t="str">
        <f>IF('Part II-Sources of Funds'!$I$43="","",-FV('Part II-Sources of Funds'!$K$43/12,12,B59/12,K41))</f>
        <v/>
      </c>
      <c r="C73" s="2389" t="str">
        <f>IF('Part II-Sources of Funds'!$I$43="","",-FV('Part II-Sources of Funds'!$K$43/12,12,C59/12,B73))</f>
        <v/>
      </c>
      <c r="D73" s="2389" t="str">
        <f>IF('Part II-Sources of Funds'!$I$43="","",-FV('Part II-Sources of Funds'!$K$43/12,12,D59/12,C73))</f>
        <v/>
      </c>
      <c r="E73" s="2389" t="str">
        <f>IF('Part II-Sources of Funds'!$I$43="","",-FV('Part II-Sources of Funds'!$K$43/12,12,E59/12,D73))</f>
        <v/>
      </c>
      <c r="F73" s="2389" t="str">
        <f>IF('Part II-Sources of Funds'!$I$43="","",-FV('Part II-Sources of Funds'!$K$43/12,12,F59/12,E73))</f>
        <v/>
      </c>
      <c r="G73" s="2389" t="str">
        <f>IF('Part II-Sources of Funds'!$I$43="","",-FV('Part II-Sources of Funds'!$K$43/12,12,G59/12,F73))</f>
        <v/>
      </c>
      <c r="H73" s="2389" t="str">
        <f>IF('Part II-Sources of Funds'!$I$43="","",-FV('Part II-Sources of Funds'!$K$43/12,12,H59/12,G73))</f>
        <v/>
      </c>
      <c r="I73" s="2389" t="str">
        <f>IF('Part II-Sources of Funds'!$I$43="","",-FV('Part II-Sources of Funds'!$K$43/12,12,I59/12,H73))</f>
        <v/>
      </c>
      <c r="J73" s="2389" t="str">
        <f>IF('Part II-Sources of Funds'!$I$43="","",-FV('Part II-Sources of Funds'!$K$43/12,12,J59/12,I73))</f>
        <v/>
      </c>
      <c r="K73" s="2389" t="str">
        <f>IF('Part II-Sources of Funds'!$I$43="","",-FV('Part II-Sources of Funds'!$K$43/12,12,K59/12,J73))</f>
        <v/>
      </c>
      <c r="L73" s="77"/>
      <c r="M73" s="77"/>
      <c r="N73" s="3916"/>
      <c r="O73" s="3918"/>
      <c r="P73" s="77"/>
      <c r="Q73" s="77"/>
      <c r="R73" s="77"/>
      <c r="S73" s="77"/>
      <c r="T73" s="77"/>
      <c r="U73" s="77"/>
      <c r="V73" s="77"/>
      <c r="W73" s="77"/>
      <c r="X73" s="77"/>
      <c r="Y73" s="77"/>
      <c r="Z73" s="1794" t="s">
        <v>1422</v>
      </c>
      <c r="AA73" s="1795">
        <v>73</v>
      </c>
    </row>
    <row r="74" spans="1:27" ht="13.35" customHeight="1">
      <c r="A74" s="236" t="s">
        <v>1419</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916"/>
      <c r="O74" s="3918"/>
      <c r="P74" s="77"/>
      <c r="Q74" s="77"/>
      <c r="R74" s="77"/>
      <c r="S74" s="77"/>
      <c r="T74" s="77"/>
      <c r="U74" s="77"/>
      <c r="V74" s="77"/>
      <c r="W74" s="77"/>
      <c r="X74" s="77"/>
      <c r="Y74" s="77"/>
      <c r="Z74" s="1794" t="s">
        <v>1422</v>
      </c>
      <c r="AA74" s="1795">
        <v>74</v>
      </c>
    </row>
    <row r="75" spans="1:27" ht="13.35" customHeight="1">
      <c r="A75" s="236" t="s">
        <v>1420</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916"/>
      <c r="O75" s="3918"/>
      <c r="P75" s="77"/>
      <c r="Q75" s="77"/>
      <c r="R75" s="77"/>
      <c r="S75" s="77"/>
      <c r="T75" s="77"/>
      <c r="U75" s="77"/>
      <c r="V75" s="77"/>
      <c r="W75" s="77"/>
      <c r="X75" s="77"/>
      <c r="Y75" s="77"/>
      <c r="Z75" s="1794" t="s">
        <v>1422</v>
      </c>
      <c r="AA75" s="1795">
        <v>75</v>
      </c>
    </row>
    <row r="76" spans="1:27" ht="13.35" customHeight="1">
      <c r="A76" s="236" t="s">
        <v>1421</v>
      </c>
      <c r="B76" s="2392">
        <f>IF('Part II-Sources of Funds'!$I$47="","",IF(-FV('Part II-Sources of Funds'!$K$47/12,12,B64/12,K44)&gt;0,-FV('Part II-Sources of Funds'!$K$47/12,12,B64/12,K44),0))</f>
        <v>0</v>
      </c>
      <c r="C76" s="2392">
        <f>IF('Part II-Sources of Funds'!$I$47="","",IF(-FV('Part II-Sources of Funds'!$K$47/12,12,C64/12,B76)&gt;0,-FV('Part II-Sources of Funds'!$K$47/12,12,C64/12,B76),0))</f>
        <v>0</v>
      </c>
      <c r="D76" s="2392">
        <f>IF('Part II-Sources of Funds'!$I$47="","",IF(-FV('Part II-Sources of Funds'!$K$47/12,12,D64/12,C76)&gt;0,-FV('Part II-Sources of Funds'!$K$47/12,12,D64/12,C76),0))</f>
        <v>0</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913"/>
      <c r="O76" s="3915"/>
      <c r="P76" s="77"/>
      <c r="Q76" s="77"/>
      <c r="R76" s="77"/>
      <c r="S76" s="77"/>
      <c r="T76" s="77"/>
      <c r="U76" s="77"/>
      <c r="V76" s="77"/>
      <c r="W76" s="77"/>
      <c r="X76" s="77"/>
      <c r="Y76" s="77"/>
      <c r="Z76" s="1794" t="s">
        <v>1422</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85" customHeight="1">
      <c r="A78" s="6" t="s">
        <v>479</v>
      </c>
      <c r="B78" s="8">
        <f>K46+1</f>
        <v>21</v>
      </c>
      <c r="C78" s="8">
        <f t="shared" ref="C78:K78" si="32">B78+1</f>
        <v>22</v>
      </c>
      <c r="D78" s="8">
        <f t="shared" si="32"/>
        <v>23</v>
      </c>
      <c r="E78" s="8">
        <f t="shared" si="32"/>
        <v>24</v>
      </c>
      <c r="F78" s="8">
        <f t="shared" si="32"/>
        <v>25</v>
      </c>
      <c r="G78" s="8">
        <f t="shared" si="32"/>
        <v>26</v>
      </c>
      <c r="H78" s="8">
        <f t="shared" si="32"/>
        <v>27</v>
      </c>
      <c r="I78" s="8">
        <f t="shared" si="32"/>
        <v>28</v>
      </c>
      <c r="J78" s="8">
        <f t="shared" si="32"/>
        <v>29</v>
      </c>
      <c r="K78" s="8">
        <f t="shared" si="32"/>
        <v>30</v>
      </c>
      <c r="L78" s="77"/>
      <c r="M78" s="77"/>
      <c r="N78" s="3623" t="s">
        <v>1290</v>
      </c>
      <c r="O78" s="3623"/>
      <c r="P78" s="77"/>
      <c r="Q78" s="77"/>
      <c r="R78" s="77"/>
      <c r="S78" s="77"/>
      <c r="T78" s="77"/>
      <c r="U78" s="77"/>
      <c r="V78" s="77"/>
      <c r="W78" s="77"/>
      <c r="X78" s="77"/>
      <c r="Y78" s="77"/>
      <c r="AA78" s="1795">
        <v>78</v>
      </c>
    </row>
    <row r="79" spans="1:27" ht="13.35" customHeight="1">
      <c r="A79" s="2761" t="s">
        <v>1395</v>
      </c>
      <c r="B79" s="2762">
        <f t="shared" ref="B79:K79" si="33">$B$15*(1+$B$6)^(B78-1)</f>
        <v>1198660.2702294833</v>
      </c>
      <c r="C79" s="2762">
        <f t="shared" si="33"/>
        <v>1222633.4756340727</v>
      </c>
      <c r="D79" s="2762">
        <f t="shared" si="33"/>
        <v>1247086.1451467543</v>
      </c>
      <c r="E79" s="2762">
        <f t="shared" si="33"/>
        <v>1272027.8680496891</v>
      </c>
      <c r="F79" s="2762">
        <f t="shared" si="33"/>
        <v>1297468.425410683</v>
      </c>
      <c r="G79" s="2762">
        <f t="shared" si="33"/>
        <v>1323417.7939188967</v>
      </c>
      <c r="H79" s="2762">
        <f t="shared" si="33"/>
        <v>1349886.1497972747</v>
      </c>
      <c r="I79" s="2762">
        <f t="shared" si="33"/>
        <v>1376883.87279322</v>
      </c>
      <c r="J79" s="2762">
        <f t="shared" si="33"/>
        <v>1404421.5502490846</v>
      </c>
      <c r="K79" s="2763">
        <f t="shared" si="33"/>
        <v>1432509.9812540661</v>
      </c>
      <c r="L79" s="77"/>
      <c r="M79" s="77"/>
      <c r="N79" s="3920"/>
      <c r="O79" s="3922"/>
      <c r="P79" s="77"/>
      <c r="Q79" s="77"/>
      <c r="R79" s="77"/>
      <c r="S79" s="77"/>
      <c r="T79" s="77"/>
      <c r="U79" s="77"/>
      <c r="V79" s="77"/>
      <c r="W79" s="77"/>
      <c r="X79" s="77"/>
      <c r="Y79" s="77"/>
      <c r="Z79" s="1794" t="s">
        <v>1423</v>
      </c>
      <c r="AA79" s="1795">
        <v>79</v>
      </c>
    </row>
    <row r="80" spans="1:27" ht="13.35" customHeight="1">
      <c r="A80" s="236" t="s">
        <v>1280</v>
      </c>
      <c r="B80" s="2385">
        <f t="shared" ref="B80:K80" si="34">$B$16*(1+$B$6)^(B78-1)</f>
        <v>23973.205404589662</v>
      </c>
      <c r="C80" s="2385">
        <f t="shared" si="34"/>
        <v>24452.669512681456</v>
      </c>
      <c r="D80" s="2385">
        <f t="shared" si="34"/>
        <v>24941.722902935086</v>
      </c>
      <c r="E80" s="2385">
        <f t="shared" si="34"/>
        <v>25440.557360993782</v>
      </c>
      <c r="F80" s="2385">
        <f t="shared" si="34"/>
        <v>25949.368508213658</v>
      </c>
      <c r="G80" s="2385">
        <f t="shared" si="34"/>
        <v>26468.355878377934</v>
      </c>
      <c r="H80" s="2385">
        <f t="shared" si="34"/>
        <v>26997.722995945496</v>
      </c>
      <c r="I80" s="2385">
        <f t="shared" si="34"/>
        <v>27537.677455864399</v>
      </c>
      <c r="J80" s="2385">
        <f t="shared" si="34"/>
        <v>28088.431004981692</v>
      </c>
      <c r="K80" s="2386">
        <f t="shared" si="34"/>
        <v>28650.199625081324</v>
      </c>
      <c r="L80" s="77"/>
      <c r="M80" s="77"/>
      <c r="N80" s="3916"/>
      <c r="O80" s="3918"/>
      <c r="P80" s="77"/>
      <c r="Q80" s="77"/>
      <c r="R80" s="77"/>
      <c r="S80" s="77"/>
      <c r="T80" s="77"/>
      <c r="U80" s="77"/>
      <c r="V80" s="77"/>
      <c r="W80" s="77"/>
      <c r="X80" s="77"/>
      <c r="Y80" s="77"/>
      <c r="Z80" s="1794" t="s">
        <v>1423</v>
      </c>
      <c r="AA80" s="1795">
        <v>80</v>
      </c>
    </row>
    <row r="81" spans="1:27" ht="13.35" customHeight="1">
      <c r="A81" s="236" t="s">
        <v>1398</v>
      </c>
      <c r="B81" s="2385">
        <f t="shared" ref="B81:K81" si="35">-(B79+B80)*$B$9</f>
        <v>-85584.343294385108</v>
      </c>
      <c r="C81" s="2385">
        <f t="shared" si="35"/>
        <v>-87296.0301602728</v>
      </c>
      <c r="D81" s="2385">
        <f t="shared" si="35"/>
        <v>-89041.950763478264</v>
      </c>
      <c r="E81" s="2385">
        <f t="shared" si="35"/>
        <v>-90822.7897787478</v>
      </c>
      <c r="F81" s="2385">
        <f t="shared" si="35"/>
        <v>-92639.245574322777</v>
      </c>
      <c r="G81" s="2385">
        <f t="shared" si="35"/>
        <v>-94492.030485809242</v>
      </c>
      <c r="H81" s="2385">
        <f t="shared" si="35"/>
        <v>-96381.871095525421</v>
      </c>
      <c r="I81" s="2385">
        <f t="shared" si="35"/>
        <v>-98309.508517435912</v>
      </c>
      <c r="J81" s="2385">
        <f t="shared" si="35"/>
        <v>-100275.69868778465</v>
      </c>
      <c r="K81" s="2386">
        <f t="shared" si="35"/>
        <v>-102281.21266154034</v>
      </c>
      <c r="L81" s="77"/>
      <c r="M81" s="77"/>
      <c r="N81" s="3916"/>
      <c r="O81" s="3918"/>
      <c r="P81" s="77"/>
      <c r="Q81" s="77"/>
      <c r="R81" s="77"/>
      <c r="S81" s="77"/>
      <c r="T81" s="77"/>
      <c r="U81" s="77"/>
      <c r="V81" s="77"/>
      <c r="W81" s="77"/>
      <c r="X81" s="77"/>
      <c r="Y81" s="77"/>
      <c r="Z81" s="1794" t="s">
        <v>1423</v>
      </c>
      <c r="AA81" s="1795">
        <v>81</v>
      </c>
    </row>
    <row r="82" spans="1:27" ht="13.35" customHeight="1">
      <c r="A82" s="236" t="s">
        <v>1401</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916"/>
      <c r="O82" s="3918"/>
      <c r="P82" s="77"/>
      <c r="Q82" s="77"/>
      <c r="R82" s="77"/>
      <c r="S82" s="77"/>
      <c r="T82" s="77"/>
      <c r="U82" s="77"/>
      <c r="V82" s="77"/>
      <c r="W82" s="77"/>
      <c r="X82" s="77"/>
      <c r="Y82" s="77"/>
      <c r="Z82" s="1794" t="s">
        <v>1423</v>
      </c>
      <c r="AA82" s="1795">
        <v>82</v>
      </c>
    </row>
    <row r="83" spans="1:27" ht="13.35" customHeight="1">
      <c r="A83" s="236" t="s">
        <v>1402</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916"/>
      <c r="O83" s="3918"/>
      <c r="P83" s="77"/>
      <c r="Q83" s="77"/>
      <c r="R83" s="77"/>
      <c r="S83" s="77"/>
      <c r="T83" s="77"/>
      <c r="U83" s="77"/>
      <c r="V83" s="77"/>
      <c r="W83" s="77"/>
      <c r="X83" s="77"/>
      <c r="Y83" s="77"/>
      <c r="Z83" s="1794" t="s">
        <v>1423</v>
      </c>
      <c r="AA83" s="1795">
        <v>83</v>
      </c>
    </row>
    <row r="84" spans="1:27" ht="13.35" customHeight="1">
      <c r="A84" s="236" t="s">
        <v>1403</v>
      </c>
      <c r="B84" s="2385">
        <f t="shared" ref="B84:K84" si="36">SUM(B79:B83)</f>
        <v>1137049.1323396878</v>
      </c>
      <c r="C84" s="2385">
        <f t="shared" si="36"/>
        <v>1159790.1149864814</v>
      </c>
      <c r="D84" s="2385">
        <f t="shared" si="36"/>
        <v>1182985.9172862112</v>
      </c>
      <c r="E84" s="2385">
        <f t="shared" si="36"/>
        <v>1206645.635631935</v>
      </c>
      <c r="F84" s="2385">
        <f t="shared" si="36"/>
        <v>1230778.5483445739</v>
      </c>
      <c r="G84" s="2385">
        <f t="shared" si="36"/>
        <v>1255394.1193114654</v>
      </c>
      <c r="H84" s="2385">
        <f t="shared" si="36"/>
        <v>1280502.0016976949</v>
      </c>
      <c r="I84" s="2385">
        <f t="shared" si="36"/>
        <v>1306112.0417316484</v>
      </c>
      <c r="J84" s="2385">
        <f t="shared" si="36"/>
        <v>1332234.2825662817</v>
      </c>
      <c r="K84" s="2386">
        <f t="shared" si="36"/>
        <v>1358878.9682176071</v>
      </c>
      <c r="L84" s="77"/>
      <c r="M84" s="77"/>
      <c r="N84" s="3916"/>
      <c r="O84" s="3918"/>
      <c r="P84" s="77"/>
      <c r="Q84" s="77"/>
      <c r="R84" s="77"/>
      <c r="S84" s="77"/>
      <c r="T84" s="77"/>
      <c r="U84" s="77"/>
      <c r="V84" s="77"/>
      <c r="W84" s="77"/>
      <c r="X84" s="77"/>
      <c r="Y84" s="77"/>
      <c r="Z84" s="1794" t="s">
        <v>1423</v>
      </c>
      <c r="AA84" s="1795">
        <v>84</v>
      </c>
    </row>
    <row r="85" spans="1:27" ht="13.35" customHeight="1">
      <c r="A85" s="236" t="s">
        <v>1404</v>
      </c>
      <c r="B85" s="2385">
        <f t="shared" ref="B85:K85" si="37">$B$21*(1+$B$7)^(B78-1)</f>
        <v>-581567.81756355101</v>
      </c>
      <c r="C85" s="2385">
        <f t="shared" si="37"/>
        <v>-599014.85209045757</v>
      </c>
      <c r="D85" s="2385">
        <f t="shared" si="37"/>
        <v>-616985.29765317135</v>
      </c>
      <c r="E85" s="2385">
        <f t="shared" si="37"/>
        <v>-635494.85658276652</v>
      </c>
      <c r="F85" s="2385">
        <f t="shared" si="37"/>
        <v>-654559.70228024933</v>
      </c>
      <c r="G85" s="2385">
        <f t="shared" si="37"/>
        <v>-674196.4933486568</v>
      </c>
      <c r="H85" s="2385">
        <f t="shared" si="37"/>
        <v>-694422.38814911665</v>
      </c>
      <c r="I85" s="2385">
        <f t="shared" si="37"/>
        <v>-715255.0597935901</v>
      </c>
      <c r="J85" s="2385">
        <f t="shared" si="37"/>
        <v>-736712.71158739773</v>
      </c>
      <c r="K85" s="2386">
        <f t="shared" si="37"/>
        <v>-758814.09293501964</v>
      </c>
      <c r="L85" s="77"/>
      <c r="M85" s="77"/>
      <c r="N85" s="3916"/>
      <c r="O85" s="3918"/>
      <c r="P85" s="77"/>
      <c r="Q85" s="77"/>
      <c r="R85" s="77"/>
      <c r="S85" s="77"/>
      <c r="T85" s="77"/>
      <c r="U85" s="77"/>
      <c r="V85" s="77"/>
      <c r="W85" s="77"/>
      <c r="X85" s="77"/>
      <c r="Y85" s="77"/>
      <c r="Z85" s="1794" t="s">
        <v>1423</v>
      </c>
      <c r="AA85" s="1795">
        <v>85</v>
      </c>
    </row>
    <row r="86" spans="1:27" ht="13.35" customHeight="1">
      <c r="A86" s="236" t="s">
        <v>1405</v>
      </c>
      <c r="B86" s="2385">
        <f>IF(AND('Part VI-Pro Forma'!$G$9="Yes",'Part VI-Pro Forma'!$G$10="Yes"),"Choose One!",IF('Part VI-Pro Forma'!$G$9="Yes",ROUND((-$K$9*(1+'Part VI-Pro Forma'!$B$7)^('Part VI-Pro Forma'!B78-1)),),IF('Part VI-Pro Forma'!$G$10="Yes",ROUND((-(SUM(B79:B82)*'Part VI-Pro Forma'!$K$10)),),"Choose mgt fee")))</f>
        <v>-56852</v>
      </c>
      <c r="C86" s="2385">
        <f>IF(AND('Part VI-Pro Forma'!$G$9="Yes",'Part VI-Pro Forma'!$G$10="Yes"),"Choose One!",IF('Part VI-Pro Forma'!$G$9="Yes",ROUND((-$K$9*(1+'Part VI-Pro Forma'!$B$7)^('Part VI-Pro Forma'!C78-1)),),IF('Part VI-Pro Forma'!$G$10="Yes",ROUND((-(SUM(C79:C82)*'Part VI-Pro Forma'!$K$10)),),"Choose mgt fee")))</f>
        <v>-57990</v>
      </c>
      <c r="D86" s="2385">
        <f>IF(AND('Part VI-Pro Forma'!$G$9="Yes",'Part VI-Pro Forma'!$G$10="Yes"),"Choose One!",IF('Part VI-Pro Forma'!$G$9="Yes",ROUND((-$K$9*(1+'Part VI-Pro Forma'!$B$7)^('Part VI-Pro Forma'!D78-1)),),IF('Part VI-Pro Forma'!$G$10="Yes",ROUND((-(SUM(D79:D82)*'Part VI-Pro Forma'!$K$10)),),"Choose mgt fee")))</f>
        <v>-59149</v>
      </c>
      <c r="E86" s="2385">
        <f>IF(AND('Part VI-Pro Forma'!$G$9="Yes",'Part VI-Pro Forma'!$G$10="Yes"),"Choose One!",IF('Part VI-Pro Forma'!$G$9="Yes",ROUND((-$K$9*(1+'Part VI-Pro Forma'!$B$7)^('Part VI-Pro Forma'!E78-1)),),IF('Part VI-Pro Forma'!$G$10="Yes",ROUND((-(SUM(E79:E82)*'Part VI-Pro Forma'!$K$10)),),"Choose mgt fee")))</f>
        <v>-60332</v>
      </c>
      <c r="F86" s="2385">
        <f>IF(AND('Part VI-Pro Forma'!$G$9="Yes",'Part VI-Pro Forma'!$G$10="Yes"),"Choose One!",IF('Part VI-Pro Forma'!$G$9="Yes",ROUND((-$K$9*(1+'Part VI-Pro Forma'!$B$7)^('Part VI-Pro Forma'!F78-1)),),IF('Part VI-Pro Forma'!$G$10="Yes",ROUND((-(SUM(F79:F82)*'Part VI-Pro Forma'!$K$10)),),"Choose mgt fee")))</f>
        <v>-61539</v>
      </c>
      <c r="G86" s="2385">
        <f>IF(AND('Part VI-Pro Forma'!$G$9="Yes",'Part VI-Pro Forma'!$G$10="Yes"),"Choose One!",IF('Part VI-Pro Forma'!$G$9="Yes",ROUND((-$K$9*(1+'Part VI-Pro Forma'!$B$7)^('Part VI-Pro Forma'!G78-1)),),IF('Part VI-Pro Forma'!$G$10="Yes",ROUND((-(SUM(G79:G82)*'Part VI-Pro Forma'!$K$10)),),"Choose mgt fee")))</f>
        <v>-62770</v>
      </c>
      <c r="H86" s="2385">
        <f>IF(AND('Part VI-Pro Forma'!$G$9="Yes",'Part VI-Pro Forma'!$G$10="Yes"),"Choose One!",IF('Part VI-Pro Forma'!$G$9="Yes",ROUND((-$K$9*(1+'Part VI-Pro Forma'!$B$7)^('Part VI-Pro Forma'!H78-1)),),IF('Part VI-Pro Forma'!$G$10="Yes",ROUND((-(SUM(H79:H82)*'Part VI-Pro Forma'!$K$10)),),"Choose mgt fee")))</f>
        <v>-64025</v>
      </c>
      <c r="I86" s="2385">
        <f>IF(AND('Part VI-Pro Forma'!$G$9="Yes",'Part VI-Pro Forma'!$G$10="Yes"),"Choose One!",IF('Part VI-Pro Forma'!$G$9="Yes",ROUND((-$K$9*(1+'Part VI-Pro Forma'!$B$7)^('Part VI-Pro Forma'!I78-1)),),IF('Part VI-Pro Forma'!$G$10="Yes",ROUND((-(SUM(I79:I82)*'Part VI-Pro Forma'!$K$10)),),"Choose mgt fee")))</f>
        <v>-65306</v>
      </c>
      <c r="J86" s="2385">
        <f>IF(AND('Part VI-Pro Forma'!$G$9="Yes",'Part VI-Pro Forma'!$G$10="Yes"),"Choose One!",IF('Part VI-Pro Forma'!$G$9="Yes",ROUND((-$K$9*(1+'Part VI-Pro Forma'!$B$7)^('Part VI-Pro Forma'!J78-1)),),IF('Part VI-Pro Forma'!$G$10="Yes",ROUND((-(SUM(J79:J82)*'Part VI-Pro Forma'!$K$10)),),"Choose mgt fee")))</f>
        <v>-66612</v>
      </c>
      <c r="K86" s="2386">
        <f>IF(AND('Part VI-Pro Forma'!$G$9="Yes",'Part VI-Pro Forma'!$G$10="Yes"),"Choose One!",IF('Part VI-Pro Forma'!$G$9="Yes",ROUND((-$K$9*(1+'Part VI-Pro Forma'!$B$7)^('Part VI-Pro Forma'!K78-1)),),IF('Part VI-Pro Forma'!$G$10="Yes",ROUND((-(SUM(K79:K82)*'Part VI-Pro Forma'!$K$10)),),"Choose mgt fee")))</f>
        <v>-67944</v>
      </c>
      <c r="L86" s="77"/>
      <c r="M86" s="77"/>
      <c r="N86" s="3916"/>
      <c r="O86" s="3918"/>
      <c r="P86" s="77"/>
      <c r="Q86" s="77"/>
      <c r="R86" s="77"/>
      <c r="S86" s="77"/>
      <c r="T86" s="77"/>
      <c r="U86" s="77"/>
      <c r="V86" s="77"/>
      <c r="W86" s="77"/>
      <c r="X86" s="77"/>
      <c r="Y86" s="77"/>
      <c r="Z86" s="1794" t="s">
        <v>1423</v>
      </c>
      <c r="AA86" s="1795">
        <v>86</v>
      </c>
    </row>
    <row r="87" spans="1:27" ht="13.35" customHeight="1">
      <c r="A87" s="236" t="s">
        <v>1406</v>
      </c>
      <c r="B87" s="2385">
        <f t="shared" ref="B87:K87" si="38">$B$23*(1+$B$8)^(B78-1)</f>
        <v>-32510.00222404944</v>
      </c>
      <c r="C87" s="2385">
        <f t="shared" si="38"/>
        <v>-33485.302290770916</v>
      </c>
      <c r="D87" s="2385">
        <f t="shared" si="38"/>
        <v>-34489.861359494047</v>
      </c>
      <c r="E87" s="2385">
        <f t="shared" si="38"/>
        <v>-35524.557200278869</v>
      </c>
      <c r="F87" s="2385">
        <f t="shared" si="38"/>
        <v>-36590.293916287235</v>
      </c>
      <c r="G87" s="2385">
        <f t="shared" si="38"/>
        <v>-37688.002733775851</v>
      </c>
      <c r="H87" s="2385">
        <f t="shared" si="38"/>
        <v>-38818.642815789128</v>
      </c>
      <c r="I87" s="2385">
        <f t="shared" si="38"/>
        <v>-39983.202100262803</v>
      </c>
      <c r="J87" s="2385">
        <f t="shared" si="38"/>
        <v>-41182.698163270681</v>
      </c>
      <c r="K87" s="2386">
        <f t="shared" si="38"/>
        <v>-42418.179108168799</v>
      </c>
      <c r="L87" s="77"/>
      <c r="M87" s="77"/>
      <c r="N87" s="3916"/>
      <c r="O87" s="3918"/>
      <c r="P87" s="77"/>
      <c r="Q87" s="58"/>
      <c r="R87" s="2387"/>
      <c r="S87" s="2387"/>
      <c r="T87" s="77"/>
      <c r="U87" s="77"/>
      <c r="V87" s="77"/>
      <c r="W87" s="77"/>
      <c r="X87" s="77"/>
      <c r="Y87" s="77"/>
      <c r="Z87" s="1794" t="s">
        <v>1423</v>
      </c>
      <c r="AA87" s="1795">
        <v>87</v>
      </c>
    </row>
    <row r="88" spans="1:27" ht="13.35" customHeight="1">
      <c r="A88" s="236" t="s">
        <v>1407</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916"/>
      <c r="O88" s="3918"/>
      <c r="P88" s="77"/>
      <c r="Q88" s="77"/>
      <c r="R88" s="77"/>
      <c r="S88" s="77"/>
      <c r="T88" s="77"/>
      <c r="U88" s="77"/>
      <c r="V88" s="77"/>
      <c r="W88" s="77"/>
      <c r="X88" s="77"/>
      <c r="Y88" s="77"/>
      <c r="Z88" s="1794" t="s">
        <v>1423</v>
      </c>
      <c r="AA88" s="1795">
        <v>88</v>
      </c>
    </row>
    <row r="89" spans="1:27" ht="13.35" customHeight="1">
      <c r="A89" s="236" t="s">
        <v>1408</v>
      </c>
      <c r="B89" s="2385">
        <f t="shared" ref="B89:K89" si="39">SUM(B84:B88)</f>
        <v>466119.31255208736</v>
      </c>
      <c r="C89" s="2385">
        <f t="shared" si="39"/>
        <v>469299.96060525288</v>
      </c>
      <c r="D89" s="2385">
        <f t="shared" si="39"/>
        <v>472361.75827354577</v>
      </c>
      <c r="E89" s="2385">
        <f t="shared" si="39"/>
        <v>475294.2218488896</v>
      </c>
      <c r="F89" s="2385">
        <f t="shared" si="39"/>
        <v>478089.55214803736</v>
      </c>
      <c r="G89" s="2385">
        <f t="shared" si="39"/>
        <v>480739.62322903273</v>
      </c>
      <c r="H89" s="2385">
        <f t="shared" si="39"/>
        <v>483235.97073278908</v>
      </c>
      <c r="I89" s="2385">
        <f t="shared" si="39"/>
        <v>485567.77983779548</v>
      </c>
      <c r="J89" s="2385">
        <f t="shared" si="39"/>
        <v>487726.87281561334</v>
      </c>
      <c r="K89" s="2388">
        <f t="shared" si="39"/>
        <v>489702.69617441867</v>
      </c>
      <c r="L89" s="77"/>
      <c r="M89" s="77"/>
      <c r="N89" s="3916"/>
      <c r="O89" s="3918"/>
      <c r="P89" s="77"/>
      <c r="Q89" s="77"/>
      <c r="R89" s="77"/>
      <c r="S89" s="77"/>
      <c r="T89" s="77"/>
      <c r="U89" s="77"/>
      <c r="V89" s="77"/>
      <c r="W89" s="77"/>
      <c r="X89" s="77"/>
      <c r="Y89" s="77"/>
      <c r="Z89" s="1794" t="s">
        <v>1423</v>
      </c>
      <c r="AA89" s="1795">
        <v>89</v>
      </c>
    </row>
    <row r="90" spans="1:27" ht="13.35" customHeight="1">
      <c r="A90" s="236" t="str">
        <f>$A58</f>
        <v>Mortgage A</v>
      </c>
      <c r="B90" s="2765">
        <f>IF('Part II-Sources of Funds'!$P$42="", 0,-'Part II-Sources of Funds'!$P$42)</f>
        <v>-318556.61698247807</v>
      </c>
      <c r="C90" s="2765">
        <f>IF('Part II-Sources of Funds'!$P$42="", 0,-'Part II-Sources of Funds'!$P$42)</f>
        <v>-318556.61698247807</v>
      </c>
      <c r="D90" s="2765">
        <f>IF('Part II-Sources of Funds'!$P$42="", 0,-'Part II-Sources of Funds'!$P$42)</f>
        <v>-318556.61698247807</v>
      </c>
      <c r="E90" s="2765">
        <f>IF('Part II-Sources of Funds'!$P$42="", 0,-'Part II-Sources of Funds'!$P$42)</f>
        <v>-318556.61698247807</v>
      </c>
      <c r="F90" s="2765">
        <f>IF('Part II-Sources of Funds'!$P$42="", 0,-'Part II-Sources of Funds'!$P$42)</f>
        <v>-318556.61698247807</v>
      </c>
      <c r="G90" s="2765">
        <f>IF('Part II-Sources of Funds'!$P$42="", 0,-'Part II-Sources of Funds'!$P$42)</f>
        <v>-318556.61698247807</v>
      </c>
      <c r="H90" s="2765">
        <f>IF('Part II-Sources of Funds'!$P$42="", 0,-'Part II-Sources of Funds'!$P$42)</f>
        <v>-318556.61698247807</v>
      </c>
      <c r="I90" s="2765">
        <f>IF('Part II-Sources of Funds'!$P$42="", 0,-'Part II-Sources of Funds'!$P$42)</f>
        <v>-318556.61698247807</v>
      </c>
      <c r="J90" s="2765">
        <f>IF('Part II-Sources of Funds'!$P$42="", 0,-'Part II-Sources of Funds'!$P$42)</f>
        <v>-318556.61698247807</v>
      </c>
      <c r="K90" s="2765">
        <f>IF('Part II-Sources of Funds'!$P$42="", 0,-'Part II-Sources of Funds'!$P$42)</f>
        <v>-318556.61698247807</v>
      </c>
      <c r="L90" s="77"/>
      <c r="M90" s="77"/>
      <c r="N90" s="3916"/>
      <c r="O90" s="3918"/>
      <c r="P90" s="77"/>
      <c r="Q90" s="77"/>
      <c r="R90" s="77"/>
      <c r="S90" s="77"/>
      <c r="T90" s="77"/>
      <c r="U90" s="77"/>
      <c r="V90" s="77"/>
      <c r="W90" s="77"/>
      <c r="X90" s="77"/>
      <c r="Y90" s="77"/>
      <c r="Z90" s="1794" t="s">
        <v>1423</v>
      </c>
      <c r="AA90" s="1795">
        <v>90</v>
      </c>
    </row>
    <row r="91" spans="1:27" ht="13.35" customHeight="1">
      <c r="A91" s="236" t="str">
        <f>$A59</f>
        <v>Mortgage B</v>
      </c>
      <c r="B91" s="2389">
        <f>IF('Part II-Sources of Funds'!$P$43="", 0,-'Part II-Sources of Funds'!$P$43)</f>
        <v>0</v>
      </c>
      <c r="C91" s="2389">
        <f>IF('Part II-Sources of Funds'!$P$43="", 0,-'Part II-Sources of Funds'!$P$43)</f>
        <v>0</v>
      </c>
      <c r="D91" s="2389">
        <f>IF('Part II-Sources of Funds'!$P$43="", 0,-'Part II-Sources of Funds'!$P$43)</f>
        <v>0</v>
      </c>
      <c r="E91" s="2389">
        <f>IF('Part II-Sources of Funds'!$P$43="", 0,-'Part II-Sources of Funds'!$P$43)</f>
        <v>0</v>
      </c>
      <c r="F91" s="2389">
        <f>IF('Part II-Sources of Funds'!$P$43="", 0,-'Part II-Sources of Funds'!$P$43)</f>
        <v>0</v>
      </c>
      <c r="G91" s="2389">
        <f>IF('Part II-Sources of Funds'!$P$43="", 0,-'Part II-Sources of Funds'!$P$43)</f>
        <v>0</v>
      </c>
      <c r="H91" s="2389">
        <f>IF('Part II-Sources of Funds'!$P$43="", 0,-'Part II-Sources of Funds'!$P$43)</f>
        <v>0</v>
      </c>
      <c r="I91" s="2389">
        <f>IF('Part II-Sources of Funds'!$P$43="", 0,-'Part II-Sources of Funds'!$P$43)</f>
        <v>0</v>
      </c>
      <c r="J91" s="2389">
        <f>IF('Part II-Sources of Funds'!$P$43="", 0,-'Part II-Sources of Funds'!$P$43)</f>
        <v>0</v>
      </c>
      <c r="K91" s="2389">
        <f>IF('Part II-Sources of Funds'!$P$43="", 0,-'Part II-Sources of Funds'!$P$43)</f>
        <v>0</v>
      </c>
      <c r="L91" s="77"/>
      <c r="M91" s="77"/>
      <c r="N91" s="3916"/>
      <c r="O91" s="3918"/>
      <c r="P91" s="77"/>
      <c r="Q91" s="77"/>
      <c r="R91" s="77"/>
      <c r="S91" s="77"/>
      <c r="T91" s="77"/>
      <c r="U91" s="77"/>
      <c r="V91" s="77"/>
      <c r="W91" s="77"/>
      <c r="X91" s="77"/>
      <c r="Y91" s="77"/>
      <c r="Z91" s="1794" t="s">
        <v>1423</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916"/>
      <c r="O92" s="3918"/>
      <c r="P92" s="77"/>
      <c r="Q92" s="77"/>
      <c r="R92" s="77"/>
      <c r="S92" s="77"/>
      <c r="T92" s="77"/>
      <c r="U92" s="77"/>
      <c r="V92" s="77"/>
      <c r="W92" s="77"/>
      <c r="X92" s="77"/>
      <c r="Y92" s="77"/>
      <c r="Z92" s="1794" t="s">
        <v>1423</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916"/>
      <c r="O93" s="3918"/>
      <c r="P93" s="77"/>
      <c r="Q93" s="77"/>
      <c r="R93" s="77"/>
      <c r="S93" s="77"/>
      <c r="T93" s="77"/>
      <c r="U93" s="77"/>
      <c r="V93" s="77"/>
      <c r="W93" s="77"/>
      <c r="X93" s="77"/>
      <c r="Y93" s="77"/>
      <c r="Z93" s="1794" t="s">
        <v>1423</v>
      </c>
      <c r="AA93" s="1795">
        <v>93</v>
      </c>
    </row>
    <row r="94" spans="1:27" ht="13.35" customHeight="1">
      <c r="A94" s="236" t="s">
        <v>1410</v>
      </c>
      <c r="B94" s="2390"/>
      <c r="C94" s="2390"/>
      <c r="D94" s="2390"/>
      <c r="E94" s="2390"/>
      <c r="F94" s="2390"/>
      <c r="G94" s="2390"/>
      <c r="H94" s="2390"/>
      <c r="I94" s="2390"/>
      <c r="J94" s="2390"/>
      <c r="K94" s="2390"/>
      <c r="L94" s="77"/>
      <c r="M94" s="77"/>
      <c r="N94" s="3916"/>
      <c r="O94" s="3918"/>
      <c r="P94" s="77"/>
      <c r="Q94" s="77"/>
      <c r="R94" s="77"/>
      <c r="S94" s="77"/>
      <c r="T94" s="77"/>
      <c r="U94" s="77"/>
      <c r="V94" s="77"/>
      <c r="W94" s="77"/>
      <c r="X94" s="77"/>
      <c r="Y94" s="77"/>
      <c r="Z94" s="1794" t="s">
        <v>1423</v>
      </c>
      <c r="AA94" s="1795">
        <v>94</v>
      </c>
    </row>
    <row r="95" spans="1:27" ht="13.35" customHeight="1">
      <c r="A95" s="236" t="s">
        <v>1411</v>
      </c>
      <c r="B95" s="2392">
        <f>+K63</f>
        <v>-13151.29539807826</v>
      </c>
      <c r="C95" s="2392">
        <f t="shared" ref="C95:K95" si="40">+B95</f>
        <v>-13151.29539807826</v>
      </c>
      <c r="D95" s="2392">
        <f t="shared" si="40"/>
        <v>-13151.29539807826</v>
      </c>
      <c r="E95" s="2392">
        <f t="shared" si="40"/>
        <v>-13151.29539807826</v>
      </c>
      <c r="F95" s="2392">
        <f t="shared" si="40"/>
        <v>-13151.29539807826</v>
      </c>
      <c r="G95" s="2392">
        <f t="shared" si="40"/>
        <v>-13151.29539807826</v>
      </c>
      <c r="H95" s="2392">
        <f t="shared" si="40"/>
        <v>-13151.29539807826</v>
      </c>
      <c r="I95" s="2392">
        <f t="shared" si="40"/>
        <v>-13151.29539807826</v>
      </c>
      <c r="J95" s="2392">
        <f t="shared" si="40"/>
        <v>-13151.29539807826</v>
      </c>
      <c r="K95" s="2392">
        <f t="shared" si="40"/>
        <v>-13151.29539807826</v>
      </c>
      <c r="L95" s="77"/>
      <c r="M95" s="77"/>
      <c r="N95" s="3916"/>
      <c r="O95" s="3918"/>
      <c r="P95" s="77"/>
      <c r="Q95" s="77"/>
      <c r="R95" s="77"/>
      <c r="S95" s="77"/>
      <c r="T95" s="77"/>
      <c r="U95" s="77"/>
      <c r="V95" s="77"/>
      <c r="W95" s="77"/>
      <c r="X95" s="77"/>
      <c r="Y95" s="77"/>
      <c r="Z95" s="1794" t="s">
        <v>1423</v>
      </c>
      <c r="AA95" s="1795">
        <v>95</v>
      </c>
    </row>
    <row r="96" spans="1:27" ht="13.35" customHeight="1">
      <c r="A96" s="236" t="s">
        <v>1413</v>
      </c>
      <c r="B96" s="2385">
        <f t="shared" ref="B96:K96" si="41">SUM(B89:B95)</f>
        <v>134411.40017153104</v>
      </c>
      <c r="C96" s="2385">
        <f t="shared" si="41"/>
        <v>137592.04822469657</v>
      </c>
      <c r="D96" s="2385">
        <f t="shared" si="41"/>
        <v>140653.84589298946</v>
      </c>
      <c r="E96" s="2385">
        <f t="shared" si="41"/>
        <v>143586.30946833329</v>
      </c>
      <c r="F96" s="2385">
        <f t="shared" si="41"/>
        <v>146381.63976748104</v>
      </c>
      <c r="G96" s="2385">
        <f t="shared" si="41"/>
        <v>149031.71084847642</v>
      </c>
      <c r="H96" s="2385">
        <f t="shared" si="41"/>
        <v>151528.05835223277</v>
      </c>
      <c r="I96" s="2385">
        <f t="shared" si="41"/>
        <v>153859.86745723916</v>
      </c>
      <c r="J96" s="2385">
        <f t="shared" si="41"/>
        <v>156018.96043505703</v>
      </c>
      <c r="K96" s="2386">
        <f t="shared" si="41"/>
        <v>157994.78379386236</v>
      </c>
      <c r="L96" s="77"/>
      <c r="M96" s="77"/>
      <c r="N96" s="3916"/>
      <c r="O96" s="3918"/>
      <c r="P96" s="77"/>
      <c r="Q96" s="77"/>
      <c r="R96" s="77"/>
      <c r="S96" s="77"/>
      <c r="T96" s="77"/>
      <c r="U96" s="77"/>
      <c r="V96" s="77"/>
      <c r="W96" s="77"/>
      <c r="X96" s="77"/>
      <c r="Y96" s="77"/>
      <c r="Z96" s="1794" t="s">
        <v>1423</v>
      </c>
      <c r="AA96" s="1795">
        <v>96</v>
      </c>
    </row>
    <row r="97" spans="1:27" ht="13.35" customHeight="1">
      <c r="A97" s="236" t="str">
        <f>$A66</f>
        <v>DCR Mortgage A</v>
      </c>
      <c r="B97" s="2393">
        <f t="shared" ref="B97:K97" si="42">IF(B90=0,"",-B89/B90)</f>
        <v>1.4632228235200209</v>
      </c>
      <c r="C97" s="2393">
        <f t="shared" si="42"/>
        <v>1.4732073847678584</v>
      </c>
      <c r="D97" s="2393">
        <f t="shared" si="42"/>
        <v>1.4828188557123194</v>
      </c>
      <c r="E97" s="2393">
        <f t="shared" si="42"/>
        <v>1.4920243263226038</v>
      </c>
      <c r="F97" s="2393">
        <f t="shared" si="42"/>
        <v>1.5007993137192761</v>
      </c>
      <c r="G97" s="2393">
        <f t="shared" si="42"/>
        <v>1.5091183092752249</v>
      </c>
      <c r="H97" s="2393">
        <f t="shared" si="42"/>
        <v>1.5169547420180227</v>
      </c>
      <c r="I97" s="2393">
        <f t="shared" si="42"/>
        <v>1.5242746624990173</v>
      </c>
      <c r="J97" s="2393">
        <f t="shared" si="42"/>
        <v>1.5310523995250751</v>
      </c>
      <c r="K97" s="2394">
        <f t="shared" si="42"/>
        <v>1.5372548240030888</v>
      </c>
      <c r="L97" s="77"/>
      <c r="M97" s="77"/>
      <c r="N97" s="3916"/>
      <c r="O97" s="3918"/>
      <c r="P97" s="77"/>
      <c r="Q97" s="77"/>
      <c r="R97" s="77"/>
      <c r="S97" s="77"/>
      <c r="T97" s="77"/>
      <c r="U97" s="77"/>
      <c r="V97" s="77"/>
      <c r="W97" s="77"/>
      <c r="X97" s="77"/>
      <c r="Y97" s="77"/>
      <c r="Z97" s="1794" t="s">
        <v>1423</v>
      </c>
      <c r="AA97" s="1795">
        <v>97</v>
      </c>
    </row>
    <row r="98" spans="1:27" ht="13.35" customHeight="1">
      <c r="A98" s="236" t="str">
        <f>$A67</f>
        <v>DCR Mortgage B</v>
      </c>
      <c r="B98" s="2393" t="str">
        <f t="shared" ref="B98:K98" si="43">IF(B91=0,"",-(B89+B90)/B91)</f>
        <v/>
      </c>
      <c r="C98" s="2393" t="str">
        <f t="shared" si="43"/>
        <v/>
      </c>
      <c r="D98" s="2393" t="str">
        <f t="shared" si="43"/>
        <v/>
      </c>
      <c r="E98" s="2393" t="str">
        <f t="shared" si="43"/>
        <v/>
      </c>
      <c r="F98" s="2393" t="str">
        <f t="shared" si="43"/>
        <v/>
      </c>
      <c r="G98" s="2393" t="str">
        <f t="shared" si="43"/>
        <v/>
      </c>
      <c r="H98" s="2393" t="str">
        <f t="shared" si="43"/>
        <v/>
      </c>
      <c r="I98" s="2393" t="str">
        <f t="shared" si="43"/>
        <v/>
      </c>
      <c r="J98" s="2393" t="str">
        <f t="shared" si="43"/>
        <v/>
      </c>
      <c r="K98" s="2394" t="str">
        <f t="shared" si="43"/>
        <v/>
      </c>
      <c r="L98" s="77"/>
      <c r="M98" s="77"/>
      <c r="N98" s="3916"/>
      <c r="O98" s="3918"/>
      <c r="P98" s="77"/>
      <c r="Q98" s="77"/>
      <c r="R98" s="77"/>
      <c r="S98" s="77"/>
      <c r="T98" s="77"/>
      <c r="U98" s="77"/>
      <c r="V98" s="77"/>
      <c r="W98" s="77"/>
      <c r="X98" s="77"/>
      <c r="Y98" s="77"/>
      <c r="Z98" s="1794" t="s">
        <v>1423</v>
      </c>
      <c r="AA98" s="1795">
        <v>98</v>
      </c>
    </row>
    <row r="99" spans="1:27" ht="13.35" customHeight="1">
      <c r="A99" s="236" t="str">
        <f>$A68</f>
        <v>DCR Mortgage C</v>
      </c>
      <c r="B99" s="2393" t="str">
        <f t="shared" ref="B99:K99" si="44">IF(B92=0,"",-(B89+B90+B91)/B92)</f>
        <v/>
      </c>
      <c r="C99" s="2393" t="str">
        <f t="shared" si="44"/>
        <v/>
      </c>
      <c r="D99" s="2393" t="str">
        <f t="shared" si="44"/>
        <v/>
      </c>
      <c r="E99" s="2393" t="str">
        <f t="shared" si="44"/>
        <v/>
      </c>
      <c r="F99" s="2393" t="str">
        <f t="shared" si="44"/>
        <v/>
      </c>
      <c r="G99" s="2393" t="str">
        <f t="shared" si="44"/>
        <v/>
      </c>
      <c r="H99" s="2393" t="str">
        <f t="shared" si="44"/>
        <v/>
      </c>
      <c r="I99" s="2393" t="str">
        <f t="shared" si="44"/>
        <v/>
      </c>
      <c r="J99" s="2393" t="str">
        <f t="shared" si="44"/>
        <v/>
      </c>
      <c r="K99" s="2394" t="str">
        <f t="shared" si="44"/>
        <v/>
      </c>
      <c r="L99" s="77"/>
      <c r="M99" s="77"/>
      <c r="N99" s="3916"/>
      <c r="O99" s="3918"/>
      <c r="P99" s="77"/>
      <c r="Q99" s="77"/>
      <c r="R99" s="77"/>
      <c r="S99" s="77"/>
      <c r="T99" s="77"/>
      <c r="U99" s="77"/>
      <c r="V99" s="77"/>
      <c r="W99" s="77"/>
      <c r="X99" s="77"/>
      <c r="Y99" s="77"/>
      <c r="Z99" s="1794" t="s">
        <v>1423</v>
      </c>
      <c r="AA99" s="1795">
        <v>99</v>
      </c>
    </row>
    <row r="100" spans="1:27" ht="13.35" customHeight="1">
      <c r="A100" s="236" t="str">
        <f>$A69</f>
        <v>DCR Other Source</v>
      </c>
      <c r="B100" s="2393" t="str">
        <f t="shared" ref="B100:K100" si="45">IF(B93=0,"",-(B89+B90+B91+B92)/B93)</f>
        <v/>
      </c>
      <c r="C100" s="2393" t="str">
        <f t="shared" si="45"/>
        <v/>
      </c>
      <c r="D100" s="2393" t="str">
        <f t="shared" si="45"/>
        <v/>
      </c>
      <c r="E100" s="2393" t="str">
        <f t="shared" si="45"/>
        <v/>
      </c>
      <c r="F100" s="2393" t="str">
        <f t="shared" si="45"/>
        <v/>
      </c>
      <c r="G100" s="2393" t="str">
        <f t="shared" si="45"/>
        <v/>
      </c>
      <c r="H100" s="2393" t="str">
        <f t="shared" si="45"/>
        <v/>
      </c>
      <c r="I100" s="2393" t="str">
        <f t="shared" si="45"/>
        <v/>
      </c>
      <c r="J100" s="2393" t="str">
        <f t="shared" si="45"/>
        <v/>
      </c>
      <c r="K100" s="2394" t="str">
        <f t="shared" si="45"/>
        <v/>
      </c>
      <c r="L100" s="77"/>
      <c r="M100" s="77"/>
      <c r="N100" s="3916"/>
      <c r="O100" s="3918"/>
      <c r="P100" s="77"/>
      <c r="Q100" s="77"/>
      <c r="R100" s="77"/>
      <c r="S100" s="77"/>
      <c r="T100" s="77"/>
      <c r="U100" s="77"/>
      <c r="V100" s="77"/>
      <c r="W100" s="77"/>
      <c r="X100" s="77"/>
      <c r="Y100" s="77"/>
      <c r="Z100" s="1794" t="s">
        <v>1423</v>
      </c>
      <c r="AA100" s="1795">
        <v>100</v>
      </c>
    </row>
    <row r="101" spans="1:27" ht="13.35" customHeight="1">
      <c r="A101" s="236" t="s">
        <v>1415</v>
      </c>
      <c r="B101" s="2393">
        <f t="shared" ref="B101:K101" si="46">IF(AND(B90=0,B91=0,B92=0,B93=0),"",-B89/(B90+B91+B92+B93))</f>
        <v>1.4632228235200209</v>
      </c>
      <c r="C101" s="2393">
        <f t="shared" si="46"/>
        <v>1.4732073847678584</v>
      </c>
      <c r="D101" s="2393">
        <f t="shared" si="46"/>
        <v>1.4828188557123194</v>
      </c>
      <c r="E101" s="2393">
        <f t="shared" si="46"/>
        <v>1.4920243263226038</v>
      </c>
      <c r="F101" s="2393">
        <f t="shared" si="46"/>
        <v>1.5007993137192761</v>
      </c>
      <c r="G101" s="2393">
        <f t="shared" si="46"/>
        <v>1.5091183092752249</v>
      </c>
      <c r="H101" s="2393">
        <f t="shared" si="46"/>
        <v>1.5169547420180227</v>
      </c>
      <c r="I101" s="2393">
        <f t="shared" si="46"/>
        <v>1.5242746624990173</v>
      </c>
      <c r="J101" s="2393">
        <f t="shared" si="46"/>
        <v>1.5310523995250751</v>
      </c>
      <c r="K101" s="2394">
        <f t="shared" si="46"/>
        <v>1.5372548240030888</v>
      </c>
      <c r="L101" s="77"/>
      <c r="M101" s="77"/>
      <c r="N101" s="3916"/>
      <c r="O101" s="3918"/>
      <c r="P101" s="77"/>
      <c r="Q101" s="77"/>
      <c r="R101" s="77"/>
      <c r="S101" s="77"/>
      <c r="T101" s="77"/>
      <c r="U101" s="77"/>
      <c r="V101" s="77"/>
      <c r="W101" s="77"/>
      <c r="X101" s="77"/>
      <c r="Y101" s="77"/>
      <c r="Z101" s="1794" t="s">
        <v>1423</v>
      </c>
      <c r="AA101" s="1795">
        <v>101</v>
      </c>
    </row>
    <row r="102" spans="1:27" ht="13.35" customHeight="1">
      <c r="A102" s="236" t="s">
        <v>1416</v>
      </c>
      <c r="B102" s="1793">
        <f>IF(OR(B86="Choose mgt fee",B86="Choose One!"),"",(B79+B80+B81+B82+B83) / -(B85+B86+B87))</f>
        <v>1.6947363178754657</v>
      </c>
      <c r="C102" s="1793">
        <f t="shared" ref="C102:K102" si="47">IF(OR(C86="Choose mgt fee",C86="Choose One!"),"",(C79+C80+C81+C82+C83) / -(C85+C86+C87))</f>
        <v>1.6796620598099743</v>
      </c>
      <c r="D102" s="1793">
        <f t="shared" si="47"/>
        <v>1.6647139029579867</v>
      </c>
      <c r="E102" s="1793">
        <f t="shared" si="47"/>
        <v>1.6498848746190913</v>
      </c>
      <c r="F102" s="1793">
        <f t="shared" si="47"/>
        <v>1.6351754237990774</v>
      </c>
      <c r="G102" s="1793">
        <f t="shared" si="47"/>
        <v>1.62058585557848</v>
      </c>
      <c r="H102" s="1793">
        <f t="shared" si="47"/>
        <v>1.6061163425562532</v>
      </c>
      <c r="I102" s="1793">
        <f t="shared" si="47"/>
        <v>1.5917630558004066</v>
      </c>
      <c r="J102" s="1793">
        <f t="shared" si="47"/>
        <v>1.5775282338370593</v>
      </c>
      <c r="K102" s="2395">
        <f t="shared" si="47"/>
        <v>1.563410106701677</v>
      </c>
      <c r="L102" s="77"/>
      <c r="M102" s="77"/>
      <c r="N102" s="3916"/>
      <c r="O102" s="3918"/>
      <c r="P102" s="77"/>
      <c r="Q102" s="77"/>
      <c r="R102" s="77"/>
      <c r="S102" s="77"/>
      <c r="T102" s="77"/>
      <c r="U102" s="77"/>
      <c r="V102" s="77"/>
      <c r="W102" s="77"/>
      <c r="X102" s="77"/>
      <c r="Y102" s="77"/>
      <c r="Z102" s="1794" t="s">
        <v>1423</v>
      </c>
      <c r="AA102" s="1795">
        <v>102</v>
      </c>
    </row>
    <row r="103" spans="1:27" ht="13.35" customHeight="1">
      <c r="A103" s="236" t="s">
        <v>1417</v>
      </c>
      <c r="B103" s="2766">
        <f>IF('Part II-Sources of Funds'!$I$42="","",-FV('Part II-Sources of Funds'!$K$42/12,12,B90/12,K72))</f>
        <v>3281107.9519654498</v>
      </c>
      <c r="C103" s="2766">
        <f>IF('Part II-Sources of Funds'!$I$42="","",-FV('Part II-Sources of Funds'!$K$42/12,12,C90/12,B103))</f>
        <v>3197696.1260961588</v>
      </c>
      <c r="D103" s="2766">
        <f>IF('Part II-Sources of Funds'!$I$42="","",-FV('Part II-Sources of Funds'!$K$42/12,12,D90/12,C103))</f>
        <v>3108031.8917749012</v>
      </c>
      <c r="E103" s="2766">
        <f>IF('Part II-Sources of Funds'!$I$42="","",-FV('Part II-Sources of Funds'!$K$42/12,12,E90/12,D103))</f>
        <v>3011646.5791093353</v>
      </c>
      <c r="F103" s="2766">
        <f>IF('Part II-Sources of Funds'!$I$42="","",-FV('Part II-Sources of Funds'!$K$42/12,12,F90/12,E103))</f>
        <v>2908036.387509936</v>
      </c>
      <c r="G103" s="2766">
        <f>IF('Part II-Sources of Funds'!$I$42="","",-FV('Part II-Sources of Funds'!$K$42/12,12,G90/12,F103))</f>
        <v>2796659.7523527485</v>
      </c>
      <c r="H103" s="2766">
        <f>IF('Part II-Sources of Funds'!$I$42="","",-FV('Part II-Sources of Funds'!$K$42/12,12,H90/12,G103))</f>
        <v>2676934.5142516615</v>
      </c>
      <c r="I103" s="2766">
        <f>IF('Part II-Sources of Funds'!$I$42="","",-FV('Part II-Sources of Funds'!$K$42/12,12,I90/12,H103))</f>
        <v>2548234.876144154</v>
      </c>
      <c r="J103" s="2766">
        <f>IF('Part II-Sources of Funds'!$I$42="","",-FV('Part II-Sources of Funds'!$K$42/12,12,J90/12,I103))</f>
        <v>2409888.1322853668</v>
      </c>
      <c r="K103" s="2766">
        <f>IF('Part II-Sources of Funds'!$I$42="","",-FV('Part II-Sources of Funds'!$K$42/12,12,K90/12,J103))</f>
        <v>2261171.1520531406</v>
      </c>
      <c r="L103" s="77"/>
      <c r="M103" s="77"/>
      <c r="N103" s="3916"/>
      <c r="O103" s="3918"/>
      <c r="P103" s="77"/>
      <c r="Q103" s="77"/>
      <c r="R103" s="77"/>
      <c r="S103" s="77"/>
      <c r="T103" s="77"/>
      <c r="U103" s="77"/>
      <c r="V103" s="77"/>
      <c r="W103" s="77"/>
      <c r="X103" s="77"/>
      <c r="Y103" s="77"/>
      <c r="Z103" s="1794" t="s">
        <v>1423</v>
      </c>
      <c r="AA103" s="1795">
        <v>103</v>
      </c>
    </row>
    <row r="104" spans="1:27" ht="13.35" customHeight="1">
      <c r="A104" s="236" t="s">
        <v>1418</v>
      </c>
      <c r="B104" s="2389" t="str">
        <f>IF('Part II-Sources of Funds'!$I$43="","",-FV('Part II-Sources of Funds'!$K$43/12,12,B91/12,K73))</f>
        <v/>
      </c>
      <c r="C104" s="2389" t="str">
        <f>IF('Part II-Sources of Funds'!$I$43="","",-FV('Part II-Sources of Funds'!$K$43/12,12,C91/12,B104))</f>
        <v/>
      </c>
      <c r="D104" s="2389" t="str">
        <f>IF('Part II-Sources of Funds'!$I$43="","",-FV('Part II-Sources of Funds'!$K$43/12,12,D91/12,C104))</f>
        <v/>
      </c>
      <c r="E104" s="2389" t="str">
        <f>IF('Part II-Sources of Funds'!$I$43="","",-FV('Part II-Sources of Funds'!$K$43/12,12,E91/12,D104))</f>
        <v/>
      </c>
      <c r="F104" s="2389" t="str">
        <f>IF('Part II-Sources of Funds'!$I$43="","",-FV('Part II-Sources of Funds'!$K$43/12,12,F91/12,E104))</f>
        <v/>
      </c>
      <c r="G104" s="2389" t="str">
        <f>IF('Part II-Sources of Funds'!$I$43="","",-FV('Part II-Sources of Funds'!$K$43/12,12,G91/12,F104))</f>
        <v/>
      </c>
      <c r="H104" s="2389" t="str">
        <f>IF('Part II-Sources of Funds'!$I$43="","",-FV('Part II-Sources of Funds'!$K$43/12,12,H91/12,G104))</f>
        <v/>
      </c>
      <c r="I104" s="2389" t="str">
        <f>IF('Part II-Sources of Funds'!$I$43="","",-FV('Part II-Sources of Funds'!$K$43/12,12,I91/12,H104))</f>
        <v/>
      </c>
      <c r="J104" s="2389" t="str">
        <f>IF('Part II-Sources of Funds'!$I$43="","",-FV('Part II-Sources of Funds'!$K$43/12,12,J91/12,I104))</f>
        <v/>
      </c>
      <c r="K104" s="2389" t="str">
        <f>IF('Part II-Sources of Funds'!$I$43="","",-FV('Part II-Sources of Funds'!$K$43/12,12,K91/12,J104))</f>
        <v/>
      </c>
      <c r="L104" s="77"/>
      <c r="M104" s="77"/>
      <c r="N104" s="3916"/>
      <c r="O104" s="3918"/>
      <c r="P104" s="77"/>
      <c r="Q104" s="77"/>
      <c r="R104" s="77"/>
      <c r="S104" s="77"/>
      <c r="T104" s="77"/>
      <c r="U104" s="77"/>
      <c r="V104" s="77"/>
      <c r="W104" s="77"/>
      <c r="X104" s="77"/>
      <c r="Y104" s="77"/>
      <c r="Z104" s="1794" t="s">
        <v>1423</v>
      </c>
      <c r="AA104" s="1795">
        <v>104</v>
      </c>
    </row>
    <row r="105" spans="1:27" ht="13.35" customHeight="1">
      <c r="A105" s="236" t="s">
        <v>1419</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916"/>
      <c r="O105" s="3918"/>
      <c r="P105" s="77"/>
      <c r="Q105" s="77"/>
      <c r="R105" s="77"/>
      <c r="S105" s="77"/>
      <c r="T105" s="77"/>
      <c r="U105" s="77"/>
      <c r="V105" s="77"/>
      <c r="W105" s="77"/>
      <c r="X105" s="77"/>
      <c r="Y105" s="77"/>
      <c r="Z105" s="1794" t="s">
        <v>1423</v>
      </c>
      <c r="AA105" s="1795">
        <v>105</v>
      </c>
    </row>
    <row r="106" spans="1:27" ht="13.35" customHeight="1">
      <c r="A106" s="236" t="s">
        <v>1420</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913"/>
      <c r="O106" s="3915"/>
      <c r="P106" s="77"/>
      <c r="Q106" s="77"/>
      <c r="R106" s="77"/>
      <c r="S106" s="77"/>
      <c r="T106" s="77"/>
      <c r="U106" s="77"/>
      <c r="V106" s="77"/>
      <c r="W106" s="77"/>
      <c r="X106" s="77"/>
      <c r="Y106" s="77"/>
      <c r="Z106" s="1794" t="s">
        <v>1423</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85" customHeight="1">
      <c r="A108" s="6" t="s">
        <v>479</v>
      </c>
      <c r="B108" s="8">
        <f>K78+1</f>
        <v>31</v>
      </c>
      <c r="C108" s="8">
        <f>B108+1</f>
        <v>32</v>
      </c>
      <c r="D108" s="8">
        <f>C108+1</f>
        <v>33</v>
      </c>
      <c r="E108" s="8">
        <f>D108+1</f>
        <v>34</v>
      </c>
      <c r="F108" s="8">
        <f>E108+1</f>
        <v>35</v>
      </c>
      <c r="G108" s="2396"/>
      <c r="H108" s="2396"/>
      <c r="I108" s="2396"/>
      <c r="J108" s="2396"/>
      <c r="K108" s="2396"/>
      <c r="L108" s="77"/>
      <c r="M108" s="77"/>
      <c r="N108" s="3623" t="s">
        <v>1424</v>
      </c>
      <c r="O108" s="3623"/>
      <c r="P108" s="77"/>
      <c r="Q108" s="77"/>
      <c r="R108" s="77"/>
      <c r="S108" s="77"/>
      <c r="T108" s="77"/>
      <c r="U108" s="77"/>
      <c r="V108" s="77"/>
      <c r="W108" s="77"/>
      <c r="X108" s="77"/>
      <c r="Y108" s="77"/>
      <c r="AA108" s="1795">
        <v>108</v>
      </c>
    </row>
    <row r="109" spans="1:27" ht="13.35" customHeight="1">
      <c r="A109" s="2761" t="s">
        <v>1395</v>
      </c>
      <c r="B109" s="2762">
        <f>$B$15*(1+$B$6)^(B108-1)</f>
        <v>1461160.1808791475</v>
      </c>
      <c r="C109" s="2762">
        <f>$B$15*(1+$B$6)^(C108-1)</f>
        <v>1490383.3844967301</v>
      </c>
      <c r="D109" s="2762">
        <f>$B$15*(1+$B$6)^(D108-1)</f>
        <v>1520191.0521866651</v>
      </c>
      <c r="E109" s="2762">
        <f>$B$15*(1+$B$6)^(E108-1)</f>
        <v>1550594.8732303984</v>
      </c>
      <c r="F109" s="2763">
        <f>$B$15*(1+$B$6)^(F108-1)</f>
        <v>1581606.7706950062</v>
      </c>
      <c r="G109" s="2396"/>
      <c r="H109" s="2396"/>
      <c r="I109" s="2396"/>
      <c r="J109" s="2396"/>
      <c r="K109" s="2396"/>
      <c r="L109" s="77"/>
      <c r="M109" s="77"/>
      <c r="N109" s="3920"/>
      <c r="O109" s="3922"/>
      <c r="P109" s="77"/>
      <c r="Q109" s="77"/>
      <c r="R109" s="77"/>
      <c r="S109" s="77"/>
      <c r="T109" s="77"/>
      <c r="U109" s="77"/>
      <c r="V109" s="77"/>
      <c r="W109" s="77"/>
      <c r="X109" s="77"/>
      <c r="Y109" s="77"/>
      <c r="Z109" s="1794" t="s">
        <v>1425</v>
      </c>
      <c r="AA109" s="1795">
        <v>109</v>
      </c>
    </row>
    <row r="110" spans="1:27" ht="13.35" customHeight="1">
      <c r="A110" s="236" t="s">
        <v>1280</v>
      </c>
      <c r="B110" s="2385">
        <f>$B$16*(1+$B$6)^(B108-1)</f>
        <v>29223.203617582953</v>
      </c>
      <c r="C110" s="2385">
        <f>$B$16*(1+$B$6)^(C108-1)</f>
        <v>29807.667689934602</v>
      </c>
      <c r="D110" s="2385">
        <f>$B$16*(1+$B$6)^(D108-1)</f>
        <v>30403.821043733304</v>
      </c>
      <c r="E110" s="2385">
        <f>$B$16*(1+$B$6)^(E108-1)</f>
        <v>31011.89746460797</v>
      </c>
      <c r="F110" s="2386">
        <f>$B$16*(1+$B$6)^(F108-1)</f>
        <v>31632.135413900127</v>
      </c>
      <c r="G110" s="2396"/>
      <c r="H110" s="2396"/>
      <c r="I110" s="2396"/>
      <c r="J110" s="2396"/>
      <c r="K110" s="2396"/>
      <c r="L110" s="77"/>
      <c r="M110" s="77"/>
      <c r="N110" s="3916"/>
      <c r="O110" s="3918"/>
      <c r="P110" s="77"/>
      <c r="Q110" s="77"/>
      <c r="R110" s="77"/>
      <c r="S110" s="77"/>
      <c r="T110" s="77"/>
      <c r="U110" s="77"/>
      <c r="V110" s="77"/>
      <c r="W110" s="77"/>
      <c r="X110" s="77"/>
      <c r="Y110" s="77"/>
      <c r="Z110" s="1794" t="s">
        <v>1425</v>
      </c>
      <c r="AA110" s="1795">
        <v>110</v>
      </c>
    </row>
    <row r="111" spans="1:27" ht="13.35" customHeight="1">
      <c r="A111" s="236" t="s">
        <v>1398</v>
      </c>
      <c r="B111" s="2385">
        <f>-(B109+B110)*$B$9</f>
        <v>-104326.83691477115</v>
      </c>
      <c r="C111" s="2385">
        <f>-(C109+C110)*$B$9</f>
        <v>-106413.37365306653</v>
      </c>
      <c r="D111" s="2385">
        <f>-(D109+D110)*$B$9</f>
        <v>-108541.6411261279</v>
      </c>
      <c r="E111" s="2385">
        <f>-(E109+E110)*$B$9</f>
        <v>-110712.47394865047</v>
      </c>
      <c r="F111" s="2386">
        <f>-(F109+F110)*$B$9</f>
        <v>-112926.72342762345</v>
      </c>
      <c r="G111" s="2396"/>
      <c r="H111" s="2396"/>
      <c r="I111" s="2396"/>
      <c r="J111" s="2396"/>
      <c r="K111" s="2396"/>
      <c r="L111" s="77"/>
      <c r="M111" s="77"/>
      <c r="N111" s="3916"/>
      <c r="O111" s="3918"/>
      <c r="P111" s="77"/>
      <c r="Q111" s="77"/>
      <c r="R111" s="77"/>
      <c r="S111" s="77"/>
      <c r="T111" s="77"/>
      <c r="U111" s="77"/>
      <c r="V111" s="77"/>
      <c r="W111" s="77"/>
      <c r="X111" s="77"/>
      <c r="Y111" s="77"/>
      <c r="Z111" s="1794" t="s">
        <v>1425</v>
      </c>
      <c r="AA111" s="1795">
        <v>111</v>
      </c>
    </row>
    <row r="112" spans="1:27" ht="13.35" customHeight="1">
      <c r="A112" s="236" t="s">
        <v>1401</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916"/>
      <c r="O112" s="3918"/>
      <c r="P112" s="77"/>
      <c r="Q112" s="77"/>
      <c r="R112" s="77"/>
      <c r="S112" s="77"/>
      <c r="T112" s="77"/>
      <c r="U112" s="77"/>
      <c r="V112" s="77"/>
      <c r="W112" s="77"/>
      <c r="X112" s="77"/>
      <c r="Y112" s="77"/>
      <c r="Z112" s="1794" t="s">
        <v>1425</v>
      </c>
      <c r="AA112" s="1795">
        <v>112</v>
      </c>
    </row>
    <row r="113" spans="1:27" ht="13.35" customHeight="1">
      <c r="A113" s="236" t="s">
        <v>1402</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916"/>
      <c r="O113" s="3918"/>
      <c r="P113" s="77"/>
      <c r="Q113" s="77"/>
      <c r="R113" s="77"/>
      <c r="S113" s="77"/>
      <c r="T113" s="77"/>
      <c r="U113" s="77"/>
      <c r="V113" s="77"/>
      <c r="W113" s="77"/>
      <c r="X113" s="77"/>
      <c r="Y113" s="77"/>
      <c r="Z113" s="1794" t="s">
        <v>1425</v>
      </c>
      <c r="AA113" s="1795">
        <v>113</v>
      </c>
    </row>
    <row r="114" spans="1:27" ht="13.35" customHeight="1">
      <c r="A114" s="236" t="s">
        <v>1403</v>
      </c>
      <c r="B114" s="2385">
        <f>SUM(B109:B113)</f>
        <v>1386056.5475819593</v>
      </c>
      <c r="C114" s="2385">
        <f>SUM(C109:C113)</f>
        <v>1413777.6785335981</v>
      </c>
      <c r="D114" s="2385">
        <f>SUM(D109:D113)</f>
        <v>1442053.2321042705</v>
      </c>
      <c r="E114" s="2385">
        <f>SUM(E109:E113)</f>
        <v>1470894.2967463559</v>
      </c>
      <c r="F114" s="2386">
        <f>SUM(F109:F113)</f>
        <v>1500312.1826812827</v>
      </c>
      <c r="G114" s="2396"/>
      <c r="H114" s="2396"/>
      <c r="I114" s="2396"/>
      <c r="J114" s="2396"/>
      <c r="K114" s="2396"/>
      <c r="L114" s="77"/>
      <c r="M114" s="77"/>
      <c r="N114" s="3916"/>
      <c r="O114" s="3918"/>
      <c r="P114" s="77"/>
      <c r="Q114" s="77"/>
      <c r="R114" s="77"/>
      <c r="S114" s="77"/>
      <c r="T114" s="77"/>
      <c r="U114" s="77"/>
      <c r="V114" s="77"/>
      <c r="W114" s="77"/>
      <c r="X114" s="77"/>
      <c r="Y114" s="77"/>
      <c r="Z114" s="1794" t="s">
        <v>1425</v>
      </c>
      <c r="AA114" s="1795">
        <v>114</v>
      </c>
    </row>
    <row r="115" spans="1:27" ht="13.35" customHeight="1">
      <c r="A115" s="236" t="s">
        <v>1404</v>
      </c>
      <c r="B115" s="2385">
        <f>$B$21*(1+$B$7)^(B108-1)</f>
        <v>-781578.51572307025</v>
      </c>
      <c r="C115" s="2385">
        <f>$B$21*(1+$B$7)^(C108-1)</f>
        <v>-805025.87119476253</v>
      </c>
      <c r="D115" s="2385">
        <f>$B$21*(1+$B$7)^(D108-1)</f>
        <v>-829176.64733060519</v>
      </c>
      <c r="E115" s="2385">
        <f>$B$21*(1+$B$7)^(E108-1)</f>
        <v>-854051.94675052341</v>
      </c>
      <c r="F115" s="2386">
        <f>$B$21*(1+$B$7)^(F108-1)</f>
        <v>-879673.50515303889</v>
      </c>
      <c r="G115" s="2396"/>
      <c r="H115" s="2396"/>
      <c r="I115" s="2396"/>
      <c r="J115" s="2396"/>
      <c r="K115" s="2396"/>
      <c r="L115" s="77"/>
      <c r="M115" s="77"/>
      <c r="N115" s="3916"/>
      <c r="O115" s="3918"/>
      <c r="P115" s="77"/>
      <c r="Q115" s="77"/>
      <c r="R115" s="77"/>
      <c r="S115" s="77"/>
      <c r="T115" s="77"/>
      <c r="U115" s="77"/>
      <c r="V115" s="77"/>
      <c r="W115" s="77"/>
      <c r="X115" s="77"/>
      <c r="Y115" s="77"/>
      <c r="Z115" s="1794" t="s">
        <v>1425</v>
      </c>
      <c r="AA115" s="1795">
        <v>115</v>
      </c>
    </row>
    <row r="116" spans="1:27" ht="13.35" customHeight="1">
      <c r="A116" s="236" t="s">
        <v>1405</v>
      </c>
      <c r="B116" s="2385">
        <f>IF(AND('Part VI-Pro Forma'!$G$9="Yes",'Part VI-Pro Forma'!$G$10="Yes"),"Choose One!",IF('Part VI-Pro Forma'!$G$9="Yes",ROUND((-$K$9*(1+'Part VI-Pro Forma'!$B$7)^('Part VI-Pro Forma'!B108-1)),),IF('Part VI-Pro Forma'!$G$10="Yes",ROUND((-(SUM(B109:B112)*'Part VI-Pro Forma'!$K$10)),),"Choose mgt fee")))</f>
        <v>-69303</v>
      </c>
      <c r="C116" s="2385">
        <f>IF(AND('Part VI-Pro Forma'!$G$9="Yes",'Part VI-Pro Forma'!$G$10="Yes"),"Choose One!",IF('Part VI-Pro Forma'!$G$9="Yes",ROUND((-$K$9*(1+'Part VI-Pro Forma'!$B$7)^('Part VI-Pro Forma'!C108-1)),),IF('Part VI-Pro Forma'!$G$10="Yes",ROUND((-(SUM(C109:C112)*'Part VI-Pro Forma'!$K$10)),),"Choose mgt fee")))</f>
        <v>-70689</v>
      </c>
      <c r="D116" s="2385">
        <f>IF(AND('Part VI-Pro Forma'!$G$9="Yes",'Part VI-Pro Forma'!$G$10="Yes"),"Choose One!",IF('Part VI-Pro Forma'!$G$9="Yes",ROUND((-$K$9*(1+'Part VI-Pro Forma'!$B$7)^('Part VI-Pro Forma'!D108-1)),),IF('Part VI-Pro Forma'!$G$10="Yes",ROUND((-(SUM(D109:D112)*'Part VI-Pro Forma'!$K$10)),),"Choose mgt fee")))</f>
        <v>-72103</v>
      </c>
      <c r="E116" s="2385">
        <f>IF(AND('Part VI-Pro Forma'!$G$9="Yes",'Part VI-Pro Forma'!$G$10="Yes"),"Choose One!",IF('Part VI-Pro Forma'!$G$9="Yes",ROUND((-$K$9*(1+'Part VI-Pro Forma'!$B$7)^('Part VI-Pro Forma'!E108-1)),),IF('Part VI-Pro Forma'!$G$10="Yes",ROUND((-(SUM(E109:E112)*'Part VI-Pro Forma'!$K$10)),),"Choose mgt fee")))</f>
        <v>-73545</v>
      </c>
      <c r="F116" s="2386">
        <f>IF(AND('Part VI-Pro Forma'!$G$9="Yes",'Part VI-Pro Forma'!$G$10="Yes"),"Choose One!",IF('Part VI-Pro Forma'!$G$9="Yes",ROUND((-$K$9*(1+'Part VI-Pro Forma'!$B$7)^('Part VI-Pro Forma'!F108-1)),),IF('Part VI-Pro Forma'!$G$10="Yes",ROUND((-(SUM(F109:F112)*'Part VI-Pro Forma'!$K$10)),),"Choose mgt fee")))</f>
        <v>-75016</v>
      </c>
      <c r="G116" s="2396"/>
      <c r="H116" s="2396"/>
      <c r="I116" s="2396"/>
      <c r="J116" s="2396"/>
      <c r="K116" s="2396"/>
      <c r="L116" s="77"/>
      <c r="M116" s="77"/>
      <c r="N116" s="3916"/>
      <c r="O116" s="3918"/>
      <c r="P116" s="77"/>
      <c r="Q116" s="77"/>
      <c r="R116" s="77"/>
      <c r="S116" s="77"/>
      <c r="T116" s="77"/>
      <c r="U116" s="77"/>
      <c r="V116" s="77"/>
      <c r="W116" s="77"/>
      <c r="X116" s="77"/>
      <c r="Y116" s="77"/>
      <c r="Z116" s="1794" t="s">
        <v>1425</v>
      </c>
      <c r="AA116" s="1795">
        <v>116</v>
      </c>
    </row>
    <row r="117" spans="1:27" ht="13.35" customHeight="1">
      <c r="A117" s="236" t="s">
        <v>1406</v>
      </c>
      <c r="B117" s="2385">
        <f>$B$23*(1+$B$8)^(B108-1)</f>
        <v>-43690.724481413861</v>
      </c>
      <c r="C117" s="2385">
        <f>$B$23*(1+$B$8)^(C108-1)</f>
        <v>-45001.446215856289</v>
      </c>
      <c r="D117" s="2385">
        <f>$B$23*(1+$B$8)^(D108-1)</f>
        <v>-46351.489602331967</v>
      </c>
      <c r="E117" s="2385">
        <f>$B$23*(1+$B$8)^(E108-1)</f>
        <v>-47742.034290401927</v>
      </c>
      <c r="F117" s="2386">
        <f>$B$23*(1+$B$8)^(F108-1)</f>
        <v>-49174.295319113975</v>
      </c>
      <c r="G117" s="2396"/>
      <c r="H117" s="2396"/>
      <c r="I117" s="2396"/>
      <c r="J117" s="2396"/>
      <c r="K117" s="2396"/>
      <c r="L117" s="77"/>
      <c r="M117" s="77"/>
      <c r="N117" s="3916"/>
      <c r="O117" s="3918"/>
      <c r="P117" s="77"/>
      <c r="Q117" s="58">
        <v>10</v>
      </c>
      <c r="R117" s="2387">
        <f>-SUM(B123:K123)</f>
        <v>0</v>
      </c>
      <c r="S117" s="2387">
        <f>SUM(B124:K124)+R117</f>
        <v>0</v>
      </c>
      <c r="T117" s="77"/>
      <c r="U117" s="77"/>
      <c r="V117" s="77"/>
      <c r="W117" s="77"/>
      <c r="X117" s="77"/>
      <c r="Y117" s="77"/>
      <c r="Z117" s="1794" t="s">
        <v>1425</v>
      </c>
      <c r="AA117" s="1795">
        <v>117</v>
      </c>
    </row>
    <row r="118" spans="1:27" ht="13.35" customHeight="1">
      <c r="A118" s="236" t="s">
        <v>1407</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916"/>
      <c r="O118" s="3918"/>
      <c r="P118" s="77"/>
      <c r="Q118" s="77"/>
      <c r="R118" s="77"/>
      <c r="S118" s="77"/>
      <c r="T118" s="77"/>
      <c r="U118" s="77"/>
      <c r="V118" s="77"/>
      <c r="W118" s="77"/>
      <c r="X118" s="77"/>
      <c r="Y118" s="77"/>
      <c r="Z118" s="1794" t="s">
        <v>1425</v>
      </c>
      <c r="AA118" s="1795">
        <v>118</v>
      </c>
    </row>
    <row r="119" spans="1:27" ht="13.35" customHeight="1">
      <c r="A119" s="236" t="s">
        <v>1408</v>
      </c>
      <c r="B119" s="2385">
        <f>SUM(B114:B118)</f>
        <v>491484.3073774752</v>
      </c>
      <c r="C119" s="2385">
        <f>SUM(C114:C118)</f>
        <v>493061.36112297926</v>
      </c>
      <c r="D119" s="2385">
        <f>SUM(D114:D118)</f>
        <v>494422.09517133335</v>
      </c>
      <c r="E119" s="2385">
        <f>SUM(E114:E118)</f>
        <v>495555.31570543064</v>
      </c>
      <c r="F119" s="2388">
        <f>SUM(F114:F118)</f>
        <v>496448.38220912986</v>
      </c>
      <c r="G119" s="2396"/>
      <c r="H119" s="2396"/>
      <c r="I119" s="2396"/>
      <c r="J119" s="2396"/>
      <c r="K119" s="2396"/>
      <c r="L119" s="77"/>
      <c r="M119" s="77"/>
      <c r="N119" s="3916"/>
      <c r="O119" s="3918"/>
      <c r="P119" s="77"/>
      <c r="Q119" s="77"/>
      <c r="R119" s="77"/>
      <c r="S119" s="77"/>
      <c r="T119" s="77"/>
      <c r="U119" s="77"/>
      <c r="V119" s="77"/>
      <c r="W119" s="77"/>
      <c r="X119" s="77"/>
      <c r="Y119" s="77"/>
      <c r="Z119" s="1794" t="s">
        <v>1425</v>
      </c>
      <c r="AA119" s="1795">
        <v>119</v>
      </c>
    </row>
    <row r="120" spans="1:27" ht="13.35" customHeight="1">
      <c r="A120" s="236" t="str">
        <f>$A90</f>
        <v>Mortgage A</v>
      </c>
      <c r="B120" s="2765">
        <f>IF('Part II-Sources of Funds'!$P$42="", 0,-'Part II-Sources of Funds'!$P$42)</f>
        <v>-318556.61698247807</v>
      </c>
      <c r="C120" s="2765">
        <f>IF('Part II-Sources of Funds'!$P$42="", 0,-'Part II-Sources of Funds'!$P$42)</f>
        <v>-318556.61698247807</v>
      </c>
      <c r="D120" s="2765">
        <f>IF('Part II-Sources of Funds'!$P$42="", 0,-'Part II-Sources of Funds'!$P$42)</f>
        <v>-318556.61698247807</v>
      </c>
      <c r="E120" s="2765">
        <f>IF('Part II-Sources of Funds'!$P$42="", 0,-'Part II-Sources of Funds'!$P$42)</f>
        <v>-318556.61698247807</v>
      </c>
      <c r="F120" s="2765">
        <f>IF('Part II-Sources of Funds'!$P$42="", 0,-'Part II-Sources of Funds'!$P$42)</f>
        <v>-318556.61698247807</v>
      </c>
      <c r="G120" s="2396"/>
      <c r="H120" s="2396"/>
      <c r="I120" s="2396"/>
      <c r="J120" s="2396"/>
      <c r="K120" s="2396"/>
      <c r="L120" s="77"/>
      <c r="M120" s="77"/>
      <c r="N120" s="3916"/>
      <c r="O120" s="3918"/>
      <c r="P120" s="77"/>
      <c r="Q120" s="77"/>
      <c r="R120" s="77"/>
      <c r="S120" s="77"/>
      <c r="T120" s="77"/>
      <c r="U120" s="77"/>
      <c r="V120" s="77"/>
      <c r="W120" s="77"/>
      <c r="X120" s="77"/>
      <c r="Y120" s="77"/>
      <c r="Z120" s="1794" t="s">
        <v>1425</v>
      </c>
      <c r="AA120" s="1795">
        <v>120</v>
      </c>
    </row>
    <row r="121" spans="1:27" ht="13.35" customHeight="1">
      <c r="A121" s="236" t="str">
        <f>$A91</f>
        <v>Mortgage B</v>
      </c>
      <c r="B121" s="2389">
        <f>IF('Part II-Sources of Funds'!$P$43="", 0,-'Part II-Sources of Funds'!$P$43)</f>
        <v>0</v>
      </c>
      <c r="C121" s="2389">
        <f>IF('Part II-Sources of Funds'!$P$43="", 0,-'Part II-Sources of Funds'!$P$43)</f>
        <v>0</v>
      </c>
      <c r="D121" s="2389">
        <f>IF('Part II-Sources of Funds'!$P$43="", 0,-'Part II-Sources of Funds'!$P$43)</f>
        <v>0</v>
      </c>
      <c r="E121" s="2389">
        <f>IF('Part II-Sources of Funds'!$P$43="", 0,-'Part II-Sources of Funds'!$P$43)</f>
        <v>0</v>
      </c>
      <c r="F121" s="2389">
        <f>IF('Part II-Sources of Funds'!$P$43="", 0,-'Part II-Sources of Funds'!$P$43)</f>
        <v>0</v>
      </c>
      <c r="G121" s="2396"/>
      <c r="H121" s="2396"/>
      <c r="I121" s="2396"/>
      <c r="J121" s="2396"/>
      <c r="K121" s="2396"/>
      <c r="L121" s="77"/>
      <c r="M121" s="77"/>
      <c r="N121" s="3916"/>
      <c r="O121" s="3918"/>
      <c r="P121" s="77"/>
      <c r="Q121" s="77"/>
      <c r="R121" s="77"/>
      <c r="S121" s="77"/>
      <c r="T121" s="77"/>
      <c r="U121" s="77"/>
      <c r="V121" s="77"/>
      <c r="W121" s="77"/>
      <c r="X121" s="77"/>
      <c r="Y121" s="77"/>
      <c r="Z121" s="1794" t="s">
        <v>1425</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916"/>
      <c r="O122" s="3918"/>
      <c r="P122" s="77"/>
      <c r="Q122" s="77"/>
      <c r="R122" s="77"/>
      <c r="S122" s="77"/>
      <c r="T122" s="77"/>
      <c r="U122" s="77"/>
      <c r="V122" s="77"/>
      <c r="W122" s="77"/>
      <c r="X122" s="77"/>
      <c r="Y122" s="77"/>
      <c r="Z122" s="1794" t="s">
        <v>1425</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916"/>
      <c r="O123" s="3918"/>
      <c r="P123" s="77"/>
      <c r="Q123" s="77"/>
      <c r="R123" s="77"/>
      <c r="S123" s="77"/>
      <c r="T123" s="77"/>
      <c r="U123" s="77"/>
      <c r="V123" s="77"/>
      <c r="W123" s="77"/>
      <c r="X123" s="77"/>
      <c r="Y123" s="77"/>
      <c r="Z123" s="1794" t="s">
        <v>1425</v>
      </c>
      <c r="AA123" s="1795">
        <v>123</v>
      </c>
    </row>
    <row r="124" spans="1:27" ht="13.35" customHeight="1">
      <c r="A124" s="236" t="s">
        <v>1410</v>
      </c>
      <c r="B124" s="2390"/>
      <c r="C124" s="2390"/>
      <c r="D124" s="2390"/>
      <c r="E124" s="2390"/>
      <c r="F124" s="2390"/>
      <c r="G124" s="2396"/>
      <c r="H124" s="2396"/>
      <c r="I124" s="2396"/>
      <c r="J124" s="2396"/>
      <c r="K124" s="2396"/>
      <c r="L124" s="77"/>
      <c r="M124" s="77"/>
      <c r="N124" s="3916"/>
      <c r="O124" s="3918"/>
      <c r="P124" s="77"/>
      <c r="Q124" s="77"/>
      <c r="R124" s="77"/>
      <c r="S124" s="77"/>
      <c r="T124" s="77"/>
      <c r="U124" s="77"/>
      <c r="V124" s="77"/>
      <c r="W124" s="77"/>
      <c r="X124" s="77"/>
      <c r="Y124" s="77"/>
      <c r="Z124" s="1794" t="s">
        <v>1425</v>
      </c>
      <c r="AA124" s="1795">
        <v>124</v>
      </c>
    </row>
    <row r="125" spans="1:27" ht="13.35" customHeight="1">
      <c r="A125" s="236" t="s">
        <v>1411</v>
      </c>
      <c r="B125" s="2392">
        <f>+K95</f>
        <v>-13151.29539807826</v>
      </c>
      <c r="C125" s="2392">
        <f>+B125</f>
        <v>-13151.29539807826</v>
      </c>
      <c r="D125" s="2392">
        <f>+C125</f>
        <v>-13151.29539807826</v>
      </c>
      <c r="E125" s="2392">
        <f>+D125</f>
        <v>-13151.29539807826</v>
      </c>
      <c r="F125" s="2392">
        <f>+E125</f>
        <v>-13151.29539807826</v>
      </c>
      <c r="G125" s="2396"/>
      <c r="H125" s="2396"/>
      <c r="I125" s="2396"/>
      <c r="J125" s="2396"/>
      <c r="K125" s="2396"/>
      <c r="L125" s="77"/>
      <c r="M125" s="77"/>
      <c r="N125" s="3916"/>
      <c r="O125" s="3918"/>
      <c r="P125" s="77"/>
      <c r="Q125" s="77"/>
      <c r="R125" s="77"/>
      <c r="S125" s="77"/>
      <c r="T125" s="77"/>
      <c r="U125" s="77"/>
      <c r="V125" s="77"/>
      <c r="W125" s="77"/>
      <c r="X125" s="77"/>
      <c r="Y125" s="77"/>
      <c r="Z125" s="1794" t="s">
        <v>1425</v>
      </c>
      <c r="AA125" s="1795">
        <v>125</v>
      </c>
    </row>
    <row r="126" spans="1:27" ht="13.35" customHeight="1">
      <c r="A126" s="236" t="s">
        <v>1413</v>
      </c>
      <c r="B126" s="2385">
        <f>SUM(B119:B125)</f>
        <v>159776.39499691888</v>
      </c>
      <c r="C126" s="2385">
        <f>SUM(C119:C125)</f>
        <v>161353.44874242294</v>
      </c>
      <c r="D126" s="2385">
        <f>SUM(D119:D125)</f>
        <v>162714.18279077703</v>
      </c>
      <c r="E126" s="2385">
        <f>SUM(E119:E125)</f>
        <v>163847.40332487432</v>
      </c>
      <c r="F126" s="2386">
        <f>SUM(F119:F125)</f>
        <v>164740.46982857355</v>
      </c>
      <c r="G126" s="2396"/>
      <c r="H126" s="2396"/>
      <c r="I126" s="2396"/>
      <c r="J126" s="2396"/>
      <c r="K126" s="2396"/>
      <c r="L126" s="77"/>
      <c r="M126" s="77"/>
      <c r="N126" s="3916"/>
      <c r="O126" s="3918"/>
      <c r="P126" s="77"/>
      <c r="Q126" s="77"/>
      <c r="R126" s="77"/>
      <c r="S126" s="77"/>
      <c r="T126" s="77"/>
      <c r="U126" s="77"/>
      <c r="V126" s="77"/>
      <c r="W126" s="77"/>
      <c r="X126" s="77"/>
      <c r="Y126" s="77"/>
      <c r="Z126" s="1794" t="s">
        <v>1425</v>
      </c>
      <c r="AA126" s="1795">
        <v>126</v>
      </c>
    </row>
    <row r="127" spans="1:27" ht="13.35" customHeight="1">
      <c r="A127" s="236" t="str">
        <f>$A97</f>
        <v>DCR Mortgage A</v>
      </c>
      <c r="B127" s="2393">
        <f>IF(B120=0,"",-B119/B120)</f>
        <v>1.5428475855659556</v>
      </c>
      <c r="C127" s="2393">
        <f>IF(C120=0,"",-C119/C120)</f>
        <v>1.5477982086622286</v>
      </c>
      <c r="D127" s="2393">
        <f>IF(D120=0,"",-D119/D120)</f>
        <v>1.5520697697468597</v>
      </c>
      <c r="E127" s="2393">
        <f>IF(E120=0,"",-E119/E120)</f>
        <v>1.5556271296436082</v>
      </c>
      <c r="F127" s="2394">
        <f>IF(F120=0,"",-F119/F120)</f>
        <v>1.5584306077573538</v>
      </c>
      <c r="G127" s="2396"/>
      <c r="H127" s="2396"/>
      <c r="I127" s="2396"/>
      <c r="J127" s="2396"/>
      <c r="K127" s="2396"/>
      <c r="L127" s="77"/>
      <c r="M127" s="77"/>
      <c r="N127" s="3916"/>
      <c r="O127" s="3918"/>
      <c r="P127" s="77"/>
      <c r="Q127" s="77"/>
      <c r="R127" s="77"/>
      <c r="S127" s="77"/>
      <c r="T127" s="77"/>
      <c r="U127" s="77"/>
      <c r="V127" s="77"/>
      <c r="W127" s="77"/>
      <c r="X127" s="77"/>
      <c r="Y127" s="77"/>
      <c r="Z127" s="1794" t="s">
        <v>1425</v>
      </c>
      <c r="AA127" s="1795">
        <v>127</v>
      </c>
    </row>
    <row r="128" spans="1:27" ht="13.35" customHeight="1">
      <c r="A128" s="236" t="str">
        <f>$A98</f>
        <v>DCR Mortgage B</v>
      </c>
      <c r="B128" s="2393" t="str">
        <f>IF(B121=0,"",-(B119+B120)/B121)</f>
        <v/>
      </c>
      <c r="C128" s="2393" t="str">
        <f>IF(C121=0,"",-(C119+C120)/C121)</f>
        <v/>
      </c>
      <c r="D128" s="2393" t="str">
        <f>IF(D121=0,"",-(D119+D120)/D121)</f>
        <v/>
      </c>
      <c r="E128" s="2393" t="str">
        <f>IF(E121=0,"",-(E119+E120)/E121)</f>
        <v/>
      </c>
      <c r="F128" s="2394" t="str">
        <f>IF(F121=0,"",-(F119+F120)/F121)</f>
        <v/>
      </c>
      <c r="G128" s="2396"/>
      <c r="H128" s="2396"/>
      <c r="I128" s="2396"/>
      <c r="J128" s="2396"/>
      <c r="K128" s="2396"/>
      <c r="L128" s="77"/>
      <c r="M128" s="77"/>
      <c r="N128" s="3916"/>
      <c r="O128" s="3918"/>
      <c r="P128" s="77"/>
      <c r="Q128" s="77"/>
      <c r="R128" s="77"/>
      <c r="S128" s="77"/>
      <c r="T128" s="77"/>
      <c r="U128" s="77"/>
      <c r="V128" s="77"/>
      <c r="W128" s="77"/>
      <c r="X128" s="77"/>
      <c r="Y128" s="77"/>
      <c r="Z128" s="1794" t="s">
        <v>1425</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916"/>
      <c r="O129" s="3918"/>
      <c r="P129" s="77"/>
      <c r="Q129" s="77"/>
      <c r="R129" s="77"/>
      <c r="S129" s="77"/>
      <c r="T129" s="77"/>
      <c r="U129" s="77"/>
      <c r="V129" s="77"/>
      <c r="W129" s="77"/>
      <c r="X129" s="77"/>
      <c r="Y129" s="77"/>
      <c r="Z129" s="1794" t="s">
        <v>1425</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916"/>
      <c r="O130" s="3918"/>
      <c r="P130" s="77"/>
      <c r="Q130" s="77"/>
      <c r="R130" s="77"/>
      <c r="S130" s="77"/>
      <c r="T130" s="77"/>
      <c r="U130" s="77"/>
      <c r="V130" s="77"/>
      <c r="W130" s="77"/>
      <c r="X130" s="77"/>
      <c r="Y130" s="77"/>
      <c r="Z130" s="1794" t="s">
        <v>1425</v>
      </c>
      <c r="AA130" s="1795">
        <v>130</v>
      </c>
    </row>
    <row r="131" spans="1:27" ht="13.35" customHeight="1">
      <c r="A131" s="236" t="s">
        <v>1415</v>
      </c>
      <c r="B131" s="2393">
        <f>IF(AND(B120=0,B121=0,B122=0,B123=0),"",-B119/(B120+B121+B122+B123))</f>
        <v>1.5428475855659556</v>
      </c>
      <c r="C131" s="2393">
        <f>IF(AND(C120=0,C121=0,C122=0,C123=0),"",-C119/(C120+C121+C122+C123))</f>
        <v>1.5477982086622286</v>
      </c>
      <c r="D131" s="2393">
        <f>IF(AND(D120=0,D121=0,D122=0,D123=0),"",-D119/(D120+D121+D122+D123))</f>
        <v>1.5520697697468597</v>
      </c>
      <c r="E131" s="2393">
        <f>IF(AND(E120=0,E121=0,E122=0,E123=0),"",-E119/(E120+E121+E122+E123))</f>
        <v>1.5556271296436082</v>
      </c>
      <c r="F131" s="2394">
        <f>IF(AND(F120=0,F121=0,F122=0,F123=0),"",-F119/(F120+F121+F122+F123))</f>
        <v>1.5584306077573538</v>
      </c>
      <c r="G131" s="2396"/>
      <c r="H131" s="2396"/>
      <c r="I131" s="2396"/>
      <c r="J131" s="2396"/>
      <c r="K131" s="2396"/>
      <c r="L131" s="77"/>
      <c r="M131" s="77"/>
      <c r="N131" s="3916"/>
      <c r="O131" s="3918"/>
      <c r="P131" s="77"/>
      <c r="Q131" s="77"/>
      <c r="R131" s="77"/>
      <c r="S131" s="77"/>
      <c r="T131" s="77"/>
      <c r="U131" s="77"/>
      <c r="V131" s="77"/>
      <c r="W131" s="77"/>
      <c r="X131" s="77"/>
      <c r="Y131" s="77"/>
      <c r="Z131" s="1794" t="s">
        <v>1425</v>
      </c>
      <c r="AA131" s="1795">
        <v>131</v>
      </c>
    </row>
    <row r="132" spans="1:27" ht="13.35" customHeight="1">
      <c r="A132" s="236" t="s">
        <v>1416</v>
      </c>
      <c r="B132" s="1793">
        <f>IF(OR(B116="Choose mgt fee",B116="Choose One!"),"",(B109+B110+B111+B112+B113) / -(B115+B116+B117))</f>
        <v>1.54940706327432</v>
      </c>
      <c r="C132" s="1793">
        <f>IF(OR(C116="Choose mgt fee",C116="Choose One!"),"",(C109+C110+C111+C112+C113) / -(C115+C116+C117))</f>
        <v>1.5355193036109569</v>
      </c>
      <c r="D132" s="1793">
        <f>IF(OR(D116="Choose mgt fee",D116="Choose One!"),"",(D109+D110+D111+D112+D113) / -(D115+D116+D117))</f>
        <v>1.5217453035276562</v>
      </c>
      <c r="E132" s="1793">
        <f>IF(OR(E116="Choose mgt fee",E116="Choose One!"),"",(E109+E110+E111+E112+E113) / -(E115+E116+E117))</f>
        <v>1.5080852148209556</v>
      </c>
      <c r="F132" s="2397">
        <f>IF(OR(F116="Choose mgt fee",F116="Choose One!"),"",(F109+F110+F111+F112+F113) / -(F115+F116+F117))</f>
        <v>1.4945375876444917</v>
      </c>
      <c r="G132" s="2396"/>
      <c r="H132" s="2396"/>
      <c r="I132" s="2396"/>
      <c r="J132" s="2396"/>
      <c r="K132" s="2396"/>
      <c r="L132" s="77"/>
      <c r="M132" s="77"/>
      <c r="N132" s="3916"/>
      <c r="O132" s="3918"/>
      <c r="P132" s="77"/>
      <c r="Q132" s="77"/>
      <c r="R132" s="77"/>
      <c r="S132" s="77"/>
      <c r="T132" s="77"/>
      <c r="U132" s="77"/>
      <c r="V132" s="77"/>
      <c r="W132" s="77"/>
      <c r="X132" s="77"/>
      <c r="Y132" s="77"/>
      <c r="Z132" s="1794" t="s">
        <v>1425</v>
      </c>
      <c r="AA132" s="1795">
        <v>132</v>
      </c>
    </row>
    <row r="133" spans="1:27" ht="13.35" customHeight="1">
      <c r="A133" s="236" t="s">
        <v>1417</v>
      </c>
      <c r="B133" s="2766">
        <f>IF('Part II-Sources of Funds'!$I$42="","",-FV('Part II-Sources of Funds'!$K$42/12,12,B120/12,K103))</f>
        <v>2101306.6001850655</v>
      </c>
      <c r="C133" s="2766">
        <f>IF('Part II-Sources of Funds'!$I$42="","",-FV('Part II-Sources of Funds'!$K$42/12,12,C120/12,B133))</f>
        <v>1929458.8736909358</v>
      </c>
      <c r="D133" s="2766">
        <f>IF('Part II-Sources of Funds'!$I$42="","",-FV('Part II-Sources of Funds'!$K$42/12,12,D120/12,C133))</f>
        <v>1744729.7342030802</v>
      </c>
      <c r="E133" s="2766">
        <f>IF('Part II-Sources of Funds'!$I$42="","",-FV('Part II-Sources of Funds'!$K$42/12,12,E120/12,D133))</f>
        <v>1546153.6129351079</v>
      </c>
      <c r="F133" s="2766">
        <f>IF('Part II-Sources of Funds'!$I$42="","",-FV('Part II-Sources of Funds'!$K$42/12,12,F120/12,E133))</f>
        <v>1332692.5637083573</v>
      </c>
      <c r="G133" s="2396"/>
      <c r="H133" s="2396"/>
      <c r="I133" s="2396"/>
      <c r="J133" s="2396"/>
      <c r="K133" s="2396"/>
      <c r="L133" s="77"/>
      <c r="M133" s="77"/>
      <c r="N133" s="3916"/>
      <c r="O133" s="3918"/>
      <c r="P133" s="77"/>
      <c r="Q133" s="77"/>
      <c r="R133" s="77"/>
      <c r="S133" s="77"/>
      <c r="T133" s="77"/>
      <c r="U133" s="77"/>
      <c r="V133" s="77"/>
      <c r="W133" s="77"/>
      <c r="X133" s="77"/>
      <c r="Y133" s="77"/>
      <c r="Z133" s="1794" t="s">
        <v>1425</v>
      </c>
      <c r="AA133" s="1795">
        <v>133</v>
      </c>
    </row>
    <row r="134" spans="1:27" ht="13.35" customHeight="1">
      <c r="A134" s="236" t="s">
        <v>1418</v>
      </c>
      <c r="B134" s="2389" t="str">
        <f>IF('Part II-Sources of Funds'!$I$43="","",-FV('Part II-Sources of Funds'!$K$43/12,12,B121/12,K104))</f>
        <v/>
      </c>
      <c r="C134" s="2389" t="str">
        <f>IF('Part II-Sources of Funds'!$I$43="","",-FV('Part II-Sources of Funds'!$K$43/12,12,C121/12,B134))</f>
        <v/>
      </c>
      <c r="D134" s="2389" t="str">
        <f>IF('Part II-Sources of Funds'!$I$43="","",-FV('Part II-Sources of Funds'!$K$43/12,12,D121/12,C134))</f>
        <v/>
      </c>
      <c r="E134" s="2389" t="str">
        <f>IF('Part II-Sources of Funds'!$I$43="","",-FV('Part II-Sources of Funds'!$K$43/12,12,E121/12,D134))</f>
        <v/>
      </c>
      <c r="F134" s="2389" t="str">
        <f>IF('Part II-Sources of Funds'!$I$43="","",-FV('Part II-Sources of Funds'!$K$43/12,12,F121/12,E134))</f>
        <v/>
      </c>
      <c r="G134" s="2396"/>
      <c r="H134" s="2396"/>
      <c r="I134" s="2396"/>
      <c r="J134" s="2396"/>
      <c r="K134" s="2396"/>
      <c r="L134" s="77"/>
      <c r="M134" s="77"/>
      <c r="N134" s="3916"/>
      <c r="O134" s="3918"/>
      <c r="P134" s="77"/>
      <c r="Q134" s="77"/>
      <c r="R134" s="77"/>
      <c r="S134" s="77"/>
      <c r="T134" s="77"/>
      <c r="U134" s="77"/>
      <c r="V134" s="77"/>
      <c r="W134" s="77"/>
      <c r="X134" s="77"/>
      <c r="Y134" s="77"/>
      <c r="Z134" s="1794" t="s">
        <v>1425</v>
      </c>
      <c r="AA134" s="1795">
        <v>134</v>
      </c>
    </row>
    <row r="135" spans="1:27" ht="13.35" customHeight="1">
      <c r="A135" s="236" t="s">
        <v>1419</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916"/>
      <c r="O135" s="3918"/>
      <c r="P135" s="77"/>
      <c r="Q135" s="77"/>
      <c r="R135" s="77"/>
      <c r="S135" s="77"/>
      <c r="T135" s="77"/>
      <c r="U135" s="77"/>
      <c r="V135" s="77"/>
      <c r="W135" s="77"/>
      <c r="X135" s="77"/>
      <c r="Y135" s="77"/>
      <c r="Z135" s="1794" t="s">
        <v>1425</v>
      </c>
      <c r="AA135" s="1795">
        <v>135</v>
      </c>
    </row>
    <row r="136" spans="1:27" ht="13.35" customHeight="1">
      <c r="A136" s="2398" t="s">
        <v>1420</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913"/>
      <c r="O136" s="3915"/>
      <c r="P136" s="77"/>
      <c r="Q136" s="77"/>
      <c r="R136" s="77"/>
      <c r="S136" s="77"/>
      <c r="T136" s="77"/>
      <c r="U136" s="77"/>
      <c r="V136" s="77"/>
      <c r="W136" s="77"/>
      <c r="X136" s="77"/>
      <c r="Y136" s="77"/>
      <c r="Z136" s="1794" t="s">
        <v>1425</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1426</v>
      </c>
      <c r="B138" s="6"/>
      <c r="C138" s="77"/>
      <c r="D138" s="77"/>
      <c r="E138" s="77"/>
      <c r="F138" s="77"/>
      <c r="G138" s="6" t="s">
        <v>1427</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437" t="s">
        <v>1428</v>
      </c>
      <c r="B140" s="4039"/>
      <c r="C140" s="4039"/>
      <c r="D140" s="4039"/>
      <c r="E140" s="4039"/>
      <c r="F140" s="4040"/>
      <c r="G140" s="4041"/>
      <c r="H140" s="4042"/>
      <c r="I140" s="4042"/>
      <c r="J140" s="4042"/>
      <c r="K140" s="4043"/>
      <c r="L140" s="77"/>
      <c r="M140" s="77"/>
      <c r="N140" s="3668" t="s">
        <v>288</v>
      </c>
      <c r="O140" s="3668"/>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N136:O136"/>
    <mergeCell ref="A140:F140"/>
    <mergeCell ref="G140:K140"/>
    <mergeCell ref="N140:O140"/>
    <mergeCell ref="N130:O130"/>
    <mergeCell ref="N131:O131"/>
    <mergeCell ref="N132:O132"/>
    <mergeCell ref="N133:O133"/>
    <mergeCell ref="N134:O134"/>
    <mergeCell ref="N135:O135"/>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12:O112"/>
    <mergeCell ref="N113:O113"/>
    <mergeCell ref="N114:O114"/>
    <mergeCell ref="N115:O115"/>
    <mergeCell ref="N116:O116"/>
    <mergeCell ref="N117:O117"/>
    <mergeCell ref="N105:O105"/>
    <mergeCell ref="N106:O106"/>
    <mergeCell ref="N108:O108"/>
    <mergeCell ref="N109:O109"/>
    <mergeCell ref="N110:O110"/>
    <mergeCell ref="N111:O111"/>
    <mergeCell ref="N99:O99"/>
    <mergeCell ref="N100:O100"/>
    <mergeCell ref="N101:O101"/>
    <mergeCell ref="N102:O102"/>
    <mergeCell ref="N103:O103"/>
    <mergeCell ref="N104:O104"/>
    <mergeCell ref="N93:O93"/>
    <mergeCell ref="N94:O94"/>
    <mergeCell ref="N95:O95"/>
    <mergeCell ref="N96:O96"/>
    <mergeCell ref="N97:O97"/>
    <mergeCell ref="N98:O98"/>
    <mergeCell ref="N87:O87"/>
    <mergeCell ref="N88:O88"/>
    <mergeCell ref="N89:O89"/>
    <mergeCell ref="N90:O90"/>
    <mergeCell ref="N91:O91"/>
    <mergeCell ref="N92:O92"/>
    <mergeCell ref="N81:O81"/>
    <mergeCell ref="N82:O82"/>
    <mergeCell ref="N83:O83"/>
    <mergeCell ref="N84:O84"/>
    <mergeCell ref="N85:O85"/>
    <mergeCell ref="N86:O86"/>
    <mergeCell ref="N74:O74"/>
    <mergeCell ref="N75:O75"/>
    <mergeCell ref="N76:O76"/>
    <mergeCell ref="N78:O78"/>
    <mergeCell ref="N79:O79"/>
    <mergeCell ref="N80:O80"/>
    <mergeCell ref="N68:O68"/>
    <mergeCell ref="N69:O69"/>
    <mergeCell ref="N70:O70"/>
    <mergeCell ref="N71:O71"/>
    <mergeCell ref="N72:O72"/>
    <mergeCell ref="N73:O73"/>
    <mergeCell ref="N62:O62"/>
    <mergeCell ref="N63:O63"/>
    <mergeCell ref="N64:O64"/>
    <mergeCell ref="N65:O65"/>
    <mergeCell ref="N66:O66"/>
    <mergeCell ref="N67:O67"/>
    <mergeCell ref="N56:O56"/>
    <mergeCell ref="N57:O57"/>
    <mergeCell ref="N58:O58"/>
    <mergeCell ref="N59:O59"/>
    <mergeCell ref="N60:O60"/>
    <mergeCell ref="N61:O61"/>
    <mergeCell ref="N50:O50"/>
    <mergeCell ref="N51:O51"/>
    <mergeCell ref="N52:O52"/>
    <mergeCell ref="N53:O53"/>
    <mergeCell ref="N54:O54"/>
    <mergeCell ref="N55:O55"/>
    <mergeCell ref="N43:O43"/>
    <mergeCell ref="N44:O44"/>
    <mergeCell ref="N46:O46"/>
    <mergeCell ref="N47:O47"/>
    <mergeCell ref="N48:O48"/>
    <mergeCell ref="N49:O49"/>
    <mergeCell ref="N37:O37"/>
    <mergeCell ref="N38:O38"/>
    <mergeCell ref="N39:O39"/>
    <mergeCell ref="N40:O40"/>
    <mergeCell ref="N41:O41"/>
    <mergeCell ref="N42:O42"/>
    <mergeCell ref="N31:O31"/>
    <mergeCell ref="N32:O32"/>
    <mergeCell ref="N33:O33"/>
    <mergeCell ref="N34:O34"/>
    <mergeCell ref="N35:O35"/>
    <mergeCell ref="N36:O36"/>
    <mergeCell ref="N25:O25"/>
    <mergeCell ref="N26:O26"/>
    <mergeCell ref="N27:O27"/>
    <mergeCell ref="N28:O28"/>
    <mergeCell ref="N29:O29"/>
    <mergeCell ref="N30:O30"/>
    <mergeCell ref="N19:O19"/>
    <mergeCell ref="N20:O20"/>
    <mergeCell ref="N21:O21"/>
    <mergeCell ref="N22:O22"/>
    <mergeCell ref="N23:O23"/>
    <mergeCell ref="N24:O24"/>
    <mergeCell ref="N10:O10"/>
    <mergeCell ref="N14:O14"/>
    <mergeCell ref="N15:O15"/>
    <mergeCell ref="S15:S18"/>
    <mergeCell ref="N16:O16"/>
    <mergeCell ref="N17:O17"/>
    <mergeCell ref="Q17:Q18"/>
    <mergeCell ref="R17:R18"/>
    <mergeCell ref="N18:O18"/>
    <mergeCell ref="A2:K2"/>
    <mergeCell ref="N2:O2"/>
    <mergeCell ref="N3:O3"/>
    <mergeCell ref="C4:C8"/>
    <mergeCell ref="D6:F7"/>
    <mergeCell ref="N6:O6"/>
    <mergeCell ref="N7:O7"/>
    <mergeCell ref="N8:O8"/>
    <mergeCell ref="N9:O9"/>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6"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topLeftCell="A314" workbookViewId="0">
      <selection activeCell="P314" sqref="P314:Q314"/>
    </sheetView>
  </sheetViews>
  <sheetFormatPr defaultColWidth="9.140625" defaultRowHeight="14.25"/>
  <cols>
    <col min="1" max="1" width="7.42578125" style="1396" customWidth="1"/>
    <col min="2" max="2" width="3.85546875" style="1396" customWidth="1"/>
    <col min="3" max="3" width="2.140625" style="1396" customWidth="1"/>
    <col min="4" max="10" width="8.85546875" style="1396" customWidth="1"/>
    <col min="11" max="11" width="7.5703125" style="1396" customWidth="1"/>
    <col min="12" max="14" width="9.140625" style="1396"/>
    <col min="15" max="15" width="9.42578125" style="1396" customWidth="1"/>
    <col min="16" max="17" width="10.140625" style="1396" customWidth="1"/>
    <col min="18" max="26" width="9.140625" style="1485"/>
    <col min="27" max="27" width="9.140625" style="1789"/>
    <col min="28" max="28" width="9.140625" style="1485"/>
    <col min="29" max="16384" width="9.140625" style="1399"/>
  </cols>
  <sheetData>
    <row r="1" spans="1:28" s="1379" customFormat="1" ht="12.75">
      <c r="A1" s="4092" t="str">
        <f>CONCATENATE("PART SEVEN - THRESHOLD CRITERIA","  -  ",'Part I-Project Identification'!$O$7," ",'Part I-Project Identification'!$F$27,", ",'Part I-Project Identification'!F28,", ",'Part I-Project Identification'!J28," County")</f>
        <v>PART SEVEN - THRESHOLD CRITERIA  -  2026-0xx Westchester Village II, Jonesboro, Clayton County</v>
      </c>
      <c r="B1" s="4092"/>
      <c r="C1" s="4092"/>
      <c r="D1" s="4092"/>
      <c r="E1" s="4092"/>
      <c r="F1" s="4092"/>
      <c r="G1" s="4092"/>
      <c r="H1" s="4092"/>
      <c r="I1" s="4092"/>
      <c r="J1" s="4092"/>
      <c r="K1" s="4092"/>
      <c r="L1" s="4092"/>
      <c r="M1" s="4092"/>
      <c r="N1" s="4092"/>
      <c r="O1" s="4092"/>
      <c r="P1" s="4092"/>
      <c r="Q1" s="4092"/>
      <c r="R1" s="1483"/>
      <c r="S1" s="1483"/>
      <c r="T1" s="1483"/>
      <c r="U1" s="1483"/>
      <c r="V1" s="1483"/>
      <c r="W1" s="1483"/>
      <c r="X1" s="1483"/>
      <c r="Y1" s="1483"/>
      <c r="Z1" s="1483"/>
      <c r="AA1" s="1787">
        <v>1</v>
      </c>
      <c r="AB1" s="1483"/>
    </row>
    <row r="2" spans="1:28" s="1379" customFormat="1" ht="12.75">
      <c r="R2" s="1483"/>
      <c r="S2" s="1483"/>
      <c r="T2" s="1483"/>
      <c r="U2" s="1483"/>
      <c r="V2" s="1483"/>
      <c r="W2" s="1483"/>
      <c r="X2" s="1483"/>
      <c r="Y2" s="1483"/>
      <c r="Z2" s="1483"/>
      <c r="AA2" s="1787">
        <v>2</v>
      </c>
      <c r="AB2" s="1483"/>
    </row>
    <row r="3" spans="1:28" s="1379" customFormat="1" ht="12.75">
      <c r="A3" s="4093"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4093"/>
      <c r="C3" s="4093"/>
      <c r="D3" s="4093"/>
      <c r="E3" s="4093"/>
      <c r="F3" s="4093"/>
      <c r="G3" s="4093"/>
      <c r="H3" s="4093"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4093"/>
      <c r="J3" s="4093"/>
      <c r="K3" s="4093"/>
      <c r="L3" s="4093"/>
      <c r="M3" s="4093"/>
      <c r="N3" s="4093"/>
      <c r="O3" s="1380"/>
      <c r="P3" s="4094" t="s">
        <v>1429</v>
      </c>
      <c r="Q3" s="4096" t="s">
        <v>1430</v>
      </c>
      <c r="R3" s="1483"/>
      <c r="S3" s="1483"/>
      <c r="T3" s="1483"/>
      <c r="U3" s="1483"/>
      <c r="V3" s="1483"/>
      <c r="W3" s="1483"/>
      <c r="X3" s="1483"/>
      <c r="Y3" s="1483"/>
      <c r="Z3" s="1483"/>
      <c r="AA3" s="1787">
        <v>3</v>
      </c>
      <c r="AB3" s="1483"/>
    </row>
    <row r="4" spans="1:28" s="1379" customFormat="1" ht="12.75">
      <c r="A4" s="1381"/>
      <c r="B4" s="4098"/>
      <c r="C4" s="4098"/>
      <c r="D4" s="4098"/>
      <c r="E4" s="1381"/>
      <c r="F4" s="1381"/>
      <c r="G4" s="1381"/>
      <c r="H4" s="1381"/>
      <c r="I4" s="1380"/>
      <c r="J4" s="1382"/>
      <c r="K4" s="1381"/>
      <c r="L4" s="1381"/>
      <c r="M4" s="1381"/>
      <c r="N4" s="1381"/>
      <c r="O4" s="1380"/>
      <c r="P4" s="4094"/>
      <c r="Q4" s="4096"/>
      <c r="R4" s="1483"/>
      <c r="S4" s="1483"/>
      <c r="T4" s="1483"/>
      <c r="U4" s="1483"/>
      <c r="V4" s="1483"/>
      <c r="W4" s="1483"/>
      <c r="X4" s="1483"/>
      <c r="Y4" s="1483"/>
      <c r="Z4" s="1483"/>
      <c r="AA4" s="1787">
        <v>4</v>
      </c>
      <c r="AB4" s="1483"/>
    </row>
    <row r="5" spans="1:28" s="1379" customFormat="1" ht="18" customHeight="1">
      <c r="A5" s="1380"/>
      <c r="B5" s="1380"/>
      <c r="C5" s="1380"/>
      <c r="D5" s="1380"/>
      <c r="E5" s="4099" t="str">
        <f>'Part I-Project Identification'!A6</f>
        <v>May XX, 2026</v>
      </c>
      <c r="F5" s="4100"/>
      <c r="G5" s="4100"/>
      <c r="H5" s="4100"/>
      <c r="I5" s="4100"/>
      <c r="J5" s="1382"/>
      <c r="K5" s="1381"/>
      <c r="L5" s="1381"/>
      <c r="M5" s="1381"/>
      <c r="N5" s="1381"/>
      <c r="O5" s="1380"/>
      <c r="P5" s="4095"/>
      <c r="Q5" s="4097"/>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4104" t="s">
        <v>1431</v>
      </c>
      <c r="B7" s="4104"/>
      <c r="C7" s="4104"/>
      <c r="D7" s="4104"/>
      <c r="E7" s="4104"/>
      <c r="F7" s="4104"/>
      <c r="G7" s="4104"/>
      <c r="H7" s="4104"/>
      <c r="I7" s="4104"/>
      <c r="J7" s="4104"/>
      <c r="K7" s="4104"/>
      <c r="L7" s="4104"/>
      <c r="M7" s="4104"/>
      <c r="N7" s="4104"/>
      <c r="O7" s="4104"/>
      <c r="P7" s="4104"/>
      <c r="Q7" s="4104"/>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1432</v>
      </c>
      <c r="B9" s="1387"/>
      <c r="C9" s="1387"/>
      <c r="D9" s="1387"/>
      <c r="E9" s="1387"/>
      <c r="F9" s="1387"/>
      <c r="G9" s="1387"/>
      <c r="H9" s="1387"/>
      <c r="I9" s="1388"/>
      <c r="J9" s="1388"/>
      <c r="K9" s="1389"/>
      <c r="L9" s="1389"/>
      <c r="M9" s="1389"/>
      <c r="N9" s="1389"/>
      <c r="O9" s="1389"/>
      <c r="P9" s="4105"/>
      <c r="Q9" s="4106"/>
      <c r="R9" s="1484"/>
      <c r="S9" s="1484"/>
      <c r="T9" s="1484"/>
      <c r="U9" s="1484"/>
      <c r="V9" s="1484"/>
      <c r="W9" s="1484"/>
      <c r="X9" s="1484"/>
      <c r="Y9" s="1484"/>
      <c r="Z9" s="1484"/>
      <c r="AA9" s="1788">
        <v>9</v>
      </c>
      <c r="AB9" s="1484"/>
    </row>
    <row r="10" spans="1:28" s="1390" customFormat="1" ht="15">
      <c r="A10" s="1391" t="s">
        <v>1433</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4107" t="s">
        <v>1434</v>
      </c>
      <c r="B11" s="4108"/>
      <c r="C11" s="4108"/>
      <c r="D11" s="4108"/>
      <c r="E11" s="4108"/>
      <c r="F11" s="4108"/>
      <c r="G11" s="4108"/>
      <c r="H11" s="4108"/>
      <c r="I11" s="4108"/>
      <c r="J11" s="4108"/>
      <c r="K11" s="4108"/>
      <c r="L11" s="4108"/>
      <c r="M11" s="4108"/>
      <c r="N11" s="4108"/>
      <c r="O11" s="4108"/>
      <c r="P11" s="4108"/>
      <c r="Q11" s="4109"/>
      <c r="R11" s="1484"/>
      <c r="S11" s="1484"/>
      <c r="T11" s="1484"/>
      <c r="U11" s="1484"/>
      <c r="V11" s="1484"/>
      <c r="W11" s="1484"/>
      <c r="X11" s="1484"/>
      <c r="Y11" s="1484"/>
      <c r="Z11" s="1484"/>
      <c r="AA11" s="1787">
        <v>11</v>
      </c>
      <c r="AB11" s="1484"/>
    </row>
    <row r="12" spans="1:28" s="1390" customFormat="1">
      <c r="A12" s="4101" t="s">
        <v>1435</v>
      </c>
      <c r="B12" s="4102"/>
      <c r="C12" s="4102"/>
      <c r="D12" s="4102"/>
      <c r="E12" s="4102"/>
      <c r="F12" s="4102"/>
      <c r="G12" s="4102"/>
      <c r="H12" s="4102"/>
      <c r="I12" s="4102"/>
      <c r="J12" s="4102"/>
      <c r="K12" s="4102"/>
      <c r="L12" s="4102"/>
      <c r="M12" s="4102"/>
      <c r="N12" s="4102"/>
      <c r="O12" s="4102"/>
      <c r="P12" s="4102"/>
      <c r="Q12" s="4103"/>
      <c r="R12" s="1484"/>
      <c r="S12" s="1484"/>
      <c r="T12" s="1484"/>
      <c r="U12" s="1484"/>
      <c r="V12" s="1484"/>
      <c r="W12" s="1484"/>
      <c r="X12" s="1484"/>
      <c r="Y12" s="1484"/>
      <c r="Z12" s="1484"/>
      <c r="AA12" s="1787">
        <v>12</v>
      </c>
      <c r="AB12" s="1484"/>
    </row>
    <row r="13" spans="1:28" s="1390" customFormat="1">
      <c r="A13" s="4101" t="s">
        <v>1436</v>
      </c>
      <c r="B13" s="4102"/>
      <c r="C13" s="4102"/>
      <c r="D13" s="4102"/>
      <c r="E13" s="4102"/>
      <c r="F13" s="4102"/>
      <c r="G13" s="4102"/>
      <c r="H13" s="4102"/>
      <c r="I13" s="4102"/>
      <c r="J13" s="4102"/>
      <c r="K13" s="4102"/>
      <c r="L13" s="4102"/>
      <c r="M13" s="4102"/>
      <c r="N13" s="4102"/>
      <c r="O13" s="4102"/>
      <c r="P13" s="4102"/>
      <c r="Q13" s="4103"/>
      <c r="R13" s="1484"/>
      <c r="S13" s="1484"/>
      <c r="T13" s="1484"/>
      <c r="U13" s="1484"/>
      <c r="V13" s="1484"/>
      <c r="W13" s="1484"/>
      <c r="X13" s="1484"/>
      <c r="Y13" s="1484"/>
      <c r="Z13" s="1484"/>
      <c r="AA13" s="1787">
        <v>13</v>
      </c>
      <c r="AB13" s="1484"/>
    </row>
    <row r="14" spans="1:28" s="1390" customFormat="1">
      <c r="A14" s="4101" t="s">
        <v>1437</v>
      </c>
      <c r="B14" s="4102"/>
      <c r="C14" s="4102"/>
      <c r="D14" s="4102"/>
      <c r="E14" s="4102"/>
      <c r="F14" s="4102"/>
      <c r="G14" s="4102"/>
      <c r="H14" s="4102"/>
      <c r="I14" s="4102"/>
      <c r="J14" s="4102"/>
      <c r="K14" s="4102"/>
      <c r="L14" s="4102"/>
      <c r="M14" s="4102"/>
      <c r="N14" s="4102"/>
      <c r="O14" s="4102"/>
      <c r="P14" s="4102"/>
      <c r="Q14" s="4103"/>
      <c r="R14" s="1484"/>
      <c r="S14" s="1484"/>
      <c r="T14" s="1484"/>
      <c r="U14" s="1484"/>
      <c r="V14" s="1484"/>
      <c r="W14" s="1484"/>
      <c r="X14" s="1484"/>
      <c r="Y14" s="1484"/>
      <c r="Z14" s="1484"/>
      <c r="AA14" s="1787">
        <v>14</v>
      </c>
      <c r="AB14" s="1484"/>
    </row>
    <row r="15" spans="1:28" s="1390" customFormat="1">
      <c r="A15" s="4101" t="s">
        <v>1438</v>
      </c>
      <c r="B15" s="4102"/>
      <c r="C15" s="4102"/>
      <c r="D15" s="4102"/>
      <c r="E15" s="4102"/>
      <c r="F15" s="4102"/>
      <c r="G15" s="4102"/>
      <c r="H15" s="4102"/>
      <c r="I15" s="4102"/>
      <c r="J15" s="4102"/>
      <c r="K15" s="4102"/>
      <c r="L15" s="4102"/>
      <c r="M15" s="4102"/>
      <c r="N15" s="4102"/>
      <c r="O15" s="4102"/>
      <c r="P15" s="4102"/>
      <c r="Q15" s="4103"/>
      <c r="R15" s="1484"/>
      <c r="S15" s="1484"/>
      <c r="T15" s="1484"/>
      <c r="U15" s="1484"/>
      <c r="V15" s="1484"/>
      <c r="W15" s="1484"/>
      <c r="X15" s="1484"/>
      <c r="Y15" s="1484"/>
      <c r="Z15" s="1484"/>
      <c r="AA15" s="1787">
        <v>15</v>
      </c>
      <c r="AB15" s="1484"/>
    </row>
    <row r="16" spans="1:28" s="1390" customFormat="1">
      <c r="A16" s="4101" t="s">
        <v>1439</v>
      </c>
      <c r="B16" s="4102"/>
      <c r="C16" s="4102"/>
      <c r="D16" s="4102"/>
      <c r="E16" s="4102"/>
      <c r="F16" s="4102"/>
      <c r="G16" s="4102"/>
      <c r="H16" s="4102"/>
      <c r="I16" s="4102"/>
      <c r="J16" s="4102"/>
      <c r="K16" s="4102"/>
      <c r="L16" s="4102"/>
      <c r="M16" s="4102"/>
      <c r="N16" s="4102"/>
      <c r="O16" s="4102"/>
      <c r="P16" s="4102"/>
      <c r="Q16" s="4103"/>
      <c r="R16" s="1484"/>
      <c r="S16" s="1484"/>
      <c r="T16" s="1484"/>
      <c r="U16" s="1484"/>
      <c r="V16" s="1484"/>
      <c r="W16" s="1484"/>
      <c r="X16" s="1484"/>
      <c r="Y16" s="1484"/>
      <c r="Z16" s="1484"/>
      <c r="AA16" s="1787">
        <v>16</v>
      </c>
      <c r="AB16" s="1484"/>
    </row>
    <row r="17" spans="1:28" s="1390" customFormat="1">
      <c r="A17" s="4101" t="s">
        <v>1440</v>
      </c>
      <c r="B17" s="4102"/>
      <c r="C17" s="4102"/>
      <c r="D17" s="4102"/>
      <c r="E17" s="4102"/>
      <c r="F17" s="4102"/>
      <c r="G17" s="4102"/>
      <c r="H17" s="4102"/>
      <c r="I17" s="4102"/>
      <c r="J17" s="4102"/>
      <c r="K17" s="4102"/>
      <c r="L17" s="4102"/>
      <c r="M17" s="4102"/>
      <c r="N17" s="4102"/>
      <c r="O17" s="4102"/>
      <c r="P17" s="4102"/>
      <c r="Q17" s="4103"/>
      <c r="R17" s="1484"/>
      <c r="S17" s="1484"/>
      <c r="T17" s="1484"/>
      <c r="U17" s="1484"/>
      <c r="V17" s="1484"/>
      <c r="W17" s="1484"/>
      <c r="X17" s="1484"/>
      <c r="Y17" s="1484"/>
      <c r="Z17" s="1484"/>
      <c r="AA17" s="1787">
        <v>17</v>
      </c>
      <c r="AB17" s="1484"/>
    </row>
    <row r="18" spans="1:28" s="1390" customFormat="1">
      <c r="A18" s="4101" t="s">
        <v>1441</v>
      </c>
      <c r="B18" s="4102"/>
      <c r="C18" s="4102"/>
      <c r="D18" s="4102"/>
      <c r="E18" s="4102"/>
      <c r="F18" s="4102"/>
      <c r="G18" s="4102"/>
      <c r="H18" s="4102"/>
      <c r="I18" s="4102"/>
      <c r="J18" s="4102"/>
      <c r="K18" s="4102"/>
      <c r="L18" s="4102"/>
      <c r="M18" s="4102"/>
      <c r="N18" s="4102"/>
      <c r="O18" s="4102"/>
      <c r="P18" s="4102"/>
      <c r="Q18" s="4103"/>
      <c r="R18" s="1484"/>
      <c r="S18" s="1484"/>
      <c r="T18" s="1484"/>
      <c r="U18" s="1484"/>
      <c r="V18" s="1484"/>
      <c r="W18" s="1484"/>
      <c r="X18" s="1484"/>
      <c r="Y18" s="1484"/>
      <c r="Z18" s="1484"/>
      <c r="AA18" s="1788">
        <v>18</v>
      </c>
      <c r="AB18" s="1484"/>
    </row>
    <row r="19" spans="1:28" s="1390" customFormat="1">
      <c r="A19" s="4101" t="s">
        <v>1442</v>
      </c>
      <c r="B19" s="4102"/>
      <c r="C19" s="4102"/>
      <c r="D19" s="4102"/>
      <c r="E19" s="4102"/>
      <c r="F19" s="4102"/>
      <c r="G19" s="4102"/>
      <c r="H19" s="4102"/>
      <c r="I19" s="4102"/>
      <c r="J19" s="4102"/>
      <c r="K19" s="4102"/>
      <c r="L19" s="4102"/>
      <c r="M19" s="4102"/>
      <c r="N19" s="4102"/>
      <c r="O19" s="4102"/>
      <c r="P19" s="4102"/>
      <c r="Q19" s="4103"/>
      <c r="R19" s="1484"/>
      <c r="S19" s="1484"/>
      <c r="T19" s="1484"/>
      <c r="U19" s="1484"/>
      <c r="V19" s="1484"/>
      <c r="W19" s="1484"/>
      <c r="X19" s="1484"/>
      <c r="Y19" s="1484"/>
      <c r="Z19" s="1484"/>
      <c r="AA19" s="1787">
        <v>19</v>
      </c>
      <c r="AB19" s="1484"/>
    </row>
    <row r="20" spans="1:28" s="1390" customFormat="1">
      <c r="A20" s="4101" t="s">
        <v>1443</v>
      </c>
      <c r="B20" s="4102"/>
      <c r="C20" s="4102"/>
      <c r="D20" s="4102"/>
      <c r="E20" s="4102"/>
      <c r="F20" s="4102"/>
      <c r="G20" s="4102"/>
      <c r="H20" s="4102"/>
      <c r="I20" s="4102"/>
      <c r="J20" s="4102"/>
      <c r="K20" s="4102"/>
      <c r="L20" s="4102"/>
      <c r="M20" s="4102"/>
      <c r="N20" s="4102"/>
      <c r="O20" s="4102"/>
      <c r="P20" s="4102"/>
      <c r="Q20" s="4103"/>
      <c r="R20" s="1484"/>
      <c r="S20" s="1484"/>
      <c r="T20" s="1484"/>
      <c r="U20" s="1484"/>
      <c r="V20" s="1484"/>
      <c r="W20" s="1484"/>
      <c r="X20" s="1484"/>
      <c r="Y20" s="1484"/>
      <c r="Z20" s="1484"/>
      <c r="AA20" s="1787">
        <v>20</v>
      </c>
      <c r="AB20" s="1484"/>
    </row>
    <row r="21" spans="1:28" s="1390" customFormat="1">
      <c r="A21" s="4101" t="s">
        <v>1444</v>
      </c>
      <c r="B21" s="4102"/>
      <c r="C21" s="4102"/>
      <c r="D21" s="4102"/>
      <c r="E21" s="4102"/>
      <c r="F21" s="4102"/>
      <c r="G21" s="4102"/>
      <c r="H21" s="4102"/>
      <c r="I21" s="4102"/>
      <c r="J21" s="4102"/>
      <c r="K21" s="4102"/>
      <c r="L21" s="4102"/>
      <c r="M21" s="4102"/>
      <c r="N21" s="4102"/>
      <c r="O21" s="4102"/>
      <c r="P21" s="4102"/>
      <c r="Q21" s="4103"/>
      <c r="R21" s="1484"/>
      <c r="S21" s="1484"/>
      <c r="T21" s="1484"/>
      <c r="U21" s="1484"/>
      <c r="V21" s="1484"/>
      <c r="W21" s="1484"/>
      <c r="X21" s="1484"/>
      <c r="Y21" s="1484"/>
      <c r="Z21" s="1484"/>
      <c r="AA21" s="1787">
        <v>21</v>
      </c>
      <c r="AB21" s="1484"/>
    </row>
    <row r="22" spans="1:28" s="1390" customFormat="1">
      <c r="A22" s="4101" t="s">
        <v>1445</v>
      </c>
      <c r="B22" s="4102"/>
      <c r="C22" s="4102"/>
      <c r="D22" s="4102"/>
      <c r="E22" s="4102"/>
      <c r="F22" s="4102"/>
      <c r="G22" s="4102"/>
      <c r="H22" s="4102"/>
      <c r="I22" s="4102"/>
      <c r="J22" s="4102"/>
      <c r="K22" s="4102"/>
      <c r="L22" s="4102"/>
      <c r="M22" s="4102"/>
      <c r="N22" s="4102"/>
      <c r="O22" s="4102"/>
      <c r="P22" s="4102"/>
      <c r="Q22" s="4103"/>
      <c r="R22" s="1484"/>
      <c r="S22" s="1484"/>
      <c r="T22" s="1484"/>
      <c r="U22" s="1484"/>
      <c r="V22" s="1484"/>
      <c r="W22" s="1484"/>
      <c r="X22" s="1484"/>
      <c r="Y22" s="1484"/>
      <c r="Z22" s="1484"/>
      <c r="AA22" s="1787">
        <v>22</v>
      </c>
      <c r="AB22" s="1484"/>
    </row>
    <row r="23" spans="1:28" s="1390" customFormat="1">
      <c r="A23" s="4101" t="s">
        <v>1446</v>
      </c>
      <c r="B23" s="4102"/>
      <c r="C23" s="4102"/>
      <c r="D23" s="4102"/>
      <c r="E23" s="4102"/>
      <c r="F23" s="4102"/>
      <c r="G23" s="4102"/>
      <c r="H23" s="4102"/>
      <c r="I23" s="4102"/>
      <c r="J23" s="4102"/>
      <c r="K23" s="4102"/>
      <c r="L23" s="4102"/>
      <c r="M23" s="4102"/>
      <c r="N23" s="4102"/>
      <c r="O23" s="4102"/>
      <c r="P23" s="4102"/>
      <c r="Q23" s="4103"/>
      <c r="R23" s="1484"/>
      <c r="S23" s="1484"/>
      <c r="T23" s="1484"/>
      <c r="U23" s="1484"/>
      <c r="V23" s="1484"/>
      <c r="W23" s="1484"/>
      <c r="X23" s="1484"/>
      <c r="Y23" s="1484"/>
      <c r="Z23" s="1484"/>
      <c r="AA23" s="1787">
        <v>23</v>
      </c>
      <c r="AB23" s="1484"/>
    </row>
    <row r="24" spans="1:28" s="1390" customFormat="1">
      <c r="A24" s="4101" t="s">
        <v>1447</v>
      </c>
      <c r="B24" s="4102"/>
      <c r="C24" s="4102"/>
      <c r="D24" s="4102"/>
      <c r="E24" s="4102"/>
      <c r="F24" s="4102"/>
      <c r="G24" s="4102"/>
      <c r="H24" s="4102"/>
      <c r="I24" s="4102"/>
      <c r="J24" s="4102"/>
      <c r="K24" s="4102"/>
      <c r="L24" s="4102"/>
      <c r="M24" s="4102"/>
      <c r="N24" s="4102"/>
      <c r="O24" s="4102"/>
      <c r="P24" s="4102"/>
      <c r="Q24" s="4103"/>
      <c r="R24" s="1484"/>
      <c r="S24" s="1484"/>
      <c r="T24" s="1484"/>
      <c r="U24" s="1484"/>
      <c r="V24" s="1484"/>
      <c r="W24" s="1484"/>
      <c r="X24" s="1484"/>
      <c r="Y24" s="1484"/>
      <c r="Z24" s="1484"/>
      <c r="AA24" s="1787">
        <v>24</v>
      </c>
      <c r="AB24" s="1484"/>
    </row>
    <row r="25" spans="1:28" s="1390" customFormat="1">
      <c r="A25" s="4110" t="s">
        <v>1448</v>
      </c>
      <c r="B25" s="4111"/>
      <c r="C25" s="4111"/>
      <c r="D25" s="4111"/>
      <c r="E25" s="4111"/>
      <c r="F25" s="4111"/>
      <c r="G25" s="4111"/>
      <c r="H25" s="4111"/>
      <c r="I25" s="4111"/>
      <c r="J25" s="4111"/>
      <c r="K25" s="4111"/>
      <c r="L25" s="4111"/>
      <c r="M25" s="4111"/>
      <c r="N25" s="4111"/>
      <c r="O25" s="4111"/>
      <c r="P25" s="4111"/>
      <c r="Q25" s="4112"/>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21</v>
      </c>
      <c r="B27" s="1395" t="s">
        <v>1449</v>
      </c>
      <c r="C27" s="1395"/>
      <c r="D27" s="1395"/>
      <c r="E27" s="1395"/>
      <c r="F27" s="1395"/>
      <c r="G27" s="1395"/>
      <c r="I27" s="1397"/>
      <c r="J27" s="1397"/>
      <c r="K27" s="1397"/>
      <c r="L27" s="1394"/>
      <c r="M27" s="1394"/>
      <c r="O27" s="1398" t="s">
        <v>1450</v>
      </c>
      <c r="P27" s="4113"/>
      <c r="Q27" s="4114"/>
      <c r="AA27" s="1787">
        <v>27</v>
      </c>
    </row>
    <row r="28" spans="1:28" ht="13.5" customHeight="1">
      <c r="B28" s="1400" t="s">
        <v>1451</v>
      </c>
      <c r="C28" s="1400"/>
      <c r="D28" s="1400"/>
      <c r="E28" s="1400"/>
      <c r="F28" s="1400"/>
      <c r="G28" s="1397"/>
      <c r="H28" s="1397"/>
      <c r="I28" s="1397"/>
      <c r="J28" s="1397"/>
      <c r="K28" s="1394"/>
      <c r="L28" s="1394"/>
      <c r="M28" s="1394"/>
      <c r="N28" s="1394"/>
      <c r="O28" s="1394"/>
      <c r="P28" s="1394"/>
      <c r="AA28" s="1787">
        <v>28</v>
      </c>
    </row>
    <row r="29" spans="1:28" ht="111" customHeight="1">
      <c r="A29" s="4062" t="s">
        <v>7679</v>
      </c>
      <c r="B29" s="4062"/>
      <c r="C29" s="4062"/>
      <c r="D29" s="4062"/>
      <c r="E29" s="4062"/>
      <c r="F29" s="4062"/>
      <c r="G29" s="4062"/>
      <c r="H29" s="4062"/>
      <c r="I29" s="4062"/>
      <c r="J29" s="4062"/>
      <c r="K29" s="4062"/>
      <c r="L29" s="4062"/>
      <c r="M29" s="4062"/>
      <c r="N29" s="4062"/>
      <c r="O29" s="4062"/>
      <c r="P29" s="4062"/>
      <c r="Q29" s="4085"/>
      <c r="AA29" s="1787">
        <v>29</v>
      </c>
    </row>
    <row r="30" spans="1:28" ht="15.75" customHeight="1">
      <c r="B30" s="1400" t="s">
        <v>1452</v>
      </c>
      <c r="C30" s="1401"/>
      <c r="D30" s="2545"/>
      <c r="E30" s="2545"/>
      <c r="F30" s="2545"/>
      <c r="G30" s="2545"/>
      <c r="H30" s="2545"/>
      <c r="I30" s="2545"/>
      <c r="J30" s="2545"/>
      <c r="K30" s="2545"/>
      <c r="L30" s="2545"/>
      <c r="M30" s="2545"/>
      <c r="N30" s="2545"/>
      <c r="O30" s="2545"/>
      <c r="P30" s="2545"/>
      <c r="AA30" s="1787">
        <v>30</v>
      </c>
    </row>
    <row r="31" spans="1:28" ht="30" customHeight="1">
      <c r="A31" s="4091"/>
      <c r="B31" s="4091"/>
      <c r="C31" s="4091"/>
      <c r="D31" s="4091"/>
      <c r="E31" s="4091"/>
      <c r="F31" s="4091"/>
      <c r="G31" s="4091"/>
      <c r="H31" s="4091"/>
      <c r="I31" s="4091"/>
      <c r="J31" s="4091"/>
      <c r="K31" s="4091"/>
      <c r="L31" s="4091"/>
      <c r="M31" s="4091"/>
      <c r="N31" s="4091"/>
      <c r="O31" s="4091"/>
      <c r="P31" s="4091"/>
      <c r="Q31" s="4091"/>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25</v>
      </c>
      <c r="B33" s="2329" t="s">
        <v>1453</v>
      </c>
      <c r="C33" s="2545"/>
      <c r="D33" s="2545"/>
      <c r="E33" s="2545"/>
      <c r="F33" s="2545"/>
      <c r="G33" s="2545"/>
      <c r="H33" s="2545"/>
      <c r="I33" s="2545"/>
      <c r="J33" s="2545"/>
      <c r="K33" s="2545"/>
      <c r="L33" s="2545"/>
      <c r="M33" s="2545"/>
      <c r="N33" s="2545"/>
      <c r="O33" s="1398" t="s">
        <v>1450</v>
      </c>
      <c r="P33" s="4051"/>
      <c r="Q33" s="4116"/>
      <c r="AA33" s="1787"/>
    </row>
    <row r="34" spans="1:27" ht="15" customHeight="1">
      <c r="A34" s="1399"/>
      <c r="B34" s="1396" t="s">
        <v>1454</v>
      </c>
      <c r="C34" s="1399"/>
      <c r="D34" s="1399"/>
      <c r="E34" s="1399"/>
      <c r="F34" s="1399"/>
      <c r="G34" s="1399"/>
      <c r="H34" s="1399"/>
      <c r="I34" s="1399"/>
      <c r="J34" s="1399"/>
      <c r="K34" s="1399"/>
      <c r="L34" s="1399"/>
      <c r="M34" s="1399"/>
      <c r="N34" s="1397"/>
      <c r="O34" s="1399"/>
      <c r="P34" s="4119" t="s">
        <v>7474</v>
      </c>
      <c r="Q34" s="4120"/>
      <c r="AA34" s="1787"/>
    </row>
    <row r="35" spans="1:27" ht="16.5" customHeight="1">
      <c r="A35" s="1399"/>
      <c r="B35" s="4072" t="s">
        <v>1455</v>
      </c>
      <c r="C35" s="4072"/>
      <c r="D35" s="4072"/>
      <c r="E35" s="4072"/>
      <c r="F35" s="4072"/>
      <c r="G35" s="4072"/>
      <c r="H35" s="4072"/>
      <c r="I35" s="4072"/>
      <c r="J35" s="4072"/>
      <c r="K35" s="4072"/>
      <c r="L35" s="4072"/>
      <c r="M35" s="4072"/>
      <c r="N35" s="4072"/>
      <c r="O35" s="4072"/>
      <c r="P35" s="4121" t="s">
        <v>7680</v>
      </c>
      <c r="Q35" s="4122"/>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1456</v>
      </c>
      <c r="D37" s="1402"/>
      <c r="E37" s="1402"/>
      <c r="F37" s="1402"/>
      <c r="G37" s="1402"/>
      <c r="H37" s="2549"/>
      <c r="I37" s="1397"/>
      <c r="J37" s="1397"/>
      <c r="AA37" s="1787"/>
    </row>
    <row r="38" spans="1:27" ht="15" customHeight="1">
      <c r="A38" s="4073" t="s">
        <v>7681</v>
      </c>
      <c r="B38" s="4117"/>
      <c r="C38" s="4117"/>
      <c r="D38" s="4117"/>
      <c r="E38" s="4117"/>
      <c r="F38" s="4117"/>
      <c r="G38" s="4117"/>
      <c r="H38" s="4117"/>
      <c r="I38" s="4117"/>
      <c r="J38" s="4117"/>
      <c r="K38" s="4117"/>
      <c r="L38" s="4117"/>
      <c r="M38" s="4117"/>
      <c r="N38" s="4117"/>
      <c r="O38" s="4117"/>
      <c r="P38" s="4117"/>
      <c r="Q38" s="4118"/>
      <c r="AA38" s="1787"/>
    </row>
    <row r="39" spans="1:27" ht="11.25" customHeight="1">
      <c r="A39" s="1394"/>
      <c r="B39" s="1400" t="s">
        <v>1452</v>
      </c>
      <c r="C39" s="1394"/>
      <c r="D39" s="1394"/>
      <c r="E39" s="1394"/>
      <c r="F39" s="1394"/>
      <c r="G39" s="1394"/>
      <c r="H39" s="1394"/>
      <c r="I39" s="2545"/>
      <c r="J39" s="2545"/>
      <c r="K39" s="2545"/>
      <c r="L39" s="2545"/>
      <c r="M39" s="2545"/>
      <c r="N39" s="2545"/>
      <c r="O39" s="2545"/>
      <c r="P39" s="2545"/>
      <c r="Q39" s="1394"/>
      <c r="AA39" s="1787"/>
    </row>
    <row r="40" spans="1:27" ht="16.5" customHeight="1">
      <c r="A40" s="4091"/>
      <c r="B40" s="4091"/>
      <c r="C40" s="4091"/>
      <c r="D40" s="4091"/>
      <c r="E40" s="4091"/>
      <c r="F40" s="4091"/>
      <c r="G40" s="4091"/>
      <c r="H40" s="4091"/>
      <c r="I40" s="4091"/>
      <c r="J40" s="4091"/>
      <c r="K40" s="4091"/>
      <c r="L40" s="4091"/>
      <c r="M40" s="4091"/>
      <c r="N40" s="4091"/>
      <c r="O40" s="4091"/>
      <c r="P40" s="4091"/>
      <c r="Q40" s="4091"/>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31</v>
      </c>
      <c r="B43" s="1395" t="s">
        <v>1457</v>
      </c>
      <c r="C43" s="1395"/>
      <c r="D43" s="1395"/>
      <c r="E43" s="2545"/>
      <c r="F43" s="2545"/>
      <c r="G43" s="2549"/>
      <c r="O43" s="1398" t="s">
        <v>1450</v>
      </c>
      <c r="P43" s="4051"/>
      <c r="Q43" s="4115"/>
      <c r="AA43" s="1788">
        <v>33</v>
      </c>
    </row>
    <row r="44" spans="1:27" ht="18.75" customHeight="1">
      <c r="A44" s="2550"/>
      <c r="B44" s="4123" t="s">
        <v>1458</v>
      </c>
      <c r="C44" s="4123"/>
      <c r="D44" s="4123"/>
      <c r="E44" s="4123"/>
      <c r="F44" s="4123"/>
      <c r="G44" s="4123"/>
      <c r="H44" s="4123"/>
      <c r="I44" s="4123"/>
      <c r="J44" s="4123"/>
      <c r="K44" s="4123"/>
      <c r="L44" s="4123"/>
      <c r="M44" s="4123"/>
      <c r="N44" s="4123"/>
      <c r="O44" s="4123"/>
      <c r="P44" s="4124" t="s">
        <v>7444</v>
      </c>
      <c r="Q44" s="4125"/>
      <c r="AA44" s="1787">
        <v>34</v>
      </c>
    </row>
    <row r="45" spans="1:27" ht="15.75" customHeight="1">
      <c r="B45" s="1402" t="s">
        <v>1456</v>
      </c>
      <c r="D45" s="1402"/>
      <c r="E45" s="1402"/>
      <c r="F45" s="1402"/>
      <c r="G45" s="1402"/>
      <c r="H45" s="2549"/>
      <c r="I45" s="1397"/>
      <c r="J45" s="1397"/>
      <c r="AA45" s="1787">
        <v>35</v>
      </c>
    </row>
    <row r="46" spans="1:27" ht="15" customHeight="1">
      <c r="A46" s="4073" t="s">
        <v>7682</v>
      </c>
      <c r="B46" s="4117"/>
      <c r="C46" s="4117"/>
      <c r="D46" s="4117"/>
      <c r="E46" s="4117"/>
      <c r="F46" s="4117"/>
      <c r="G46" s="4117"/>
      <c r="H46" s="4117"/>
      <c r="I46" s="4117"/>
      <c r="J46" s="4117"/>
      <c r="K46" s="4117"/>
      <c r="L46" s="4117"/>
      <c r="M46" s="4117"/>
      <c r="N46" s="4117"/>
      <c r="O46" s="4117"/>
      <c r="P46" s="4117"/>
      <c r="Q46" s="4118"/>
      <c r="AA46" s="1787">
        <v>36</v>
      </c>
    </row>
    <row r="47" spans="1:27" ht="15.75" customHeight="1">
      <c r="A47" s="1394"/>
      <c r="B47" s="1400" t="s">
        <v>1452</v>
      </c>
      <c r="C47" s="1394"/>
      <c r="D47" s="1394"/>
      <c r="E47" s="1394"/>
      <c r="F47" s="1394"/>
      <c r="G47" s="1394"/>
      <c r="H47" s="1394"/>
      <c r="I47" s="2545"/>
      <c r="J47" s="2545"/>
      <c r="K47" s="2545"/>
      <c r="L47" s="2545"/>
      <c r="M47" s="2545"/>
      <c r="N47" s="2545"/>
      <c r="O47" s="2545"/>
      <c r="P47" s="2545"/>
      <c r="Q47" s="1394"/>
      <c r="AA47" s="1787">
        <v>37</v>
      </c>
    </row>
    <row r="48" spans="1:27" ht="15" customHeight="1">
      <c r="A48" s="4091"/>
      <c r="B48" s="4091"/>
      <c r="C48" s="4091"/>
      <c r="D48" s="4091"/>
      <c r="E48" s="4091"/>
      <c r="F48" s="4091"/>
      <c r="G48" s="4091"/>
      <c r="H48" s="4091"/>
      <c r="I48" s="4091"/>
      <c r="J48" s="4091"/>
      <c r="K48" s="4091"/>
      <c r="L48" s="4091"/>
      <c r="M48" s="4091"/>
      <c r="N48" s="4091"/>
      <c r="O48" s="4091"/>
      <c r="P48" s="4091"/>
      <c r="Q48" s="4091"/>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43</v>
      </c>
      <c r="B51" s="2550" t="s">
        <v>1459</v>
      </c>
      <c r="C51" s="2550"/>
      <c r="D51" s="2545"/>
      <c r="E51" s="2545"/>
      <c r="F51" s="2545"/>
      <c r="G51" s="2545"/>
      <c r="H51" s="2545"/>
      <c r="I51" s="2545"/>
      <c r="J51" s="2545"/>
      <c r="L51" s="1403"/>
      <c r="M51" s="1404"/>
      <c r="O51" s="1398" t="s">
        <v>1450</v>
      </c>
      <c r="P51" s="4051"/>
      <c r="Q51" s="4079"/>
      <c r="AA51" s="1787">
        <v>41</v>
      </c>
    </row>
    <row r="52" spans="1:27" ht="20.25" customHeight="1">
      <c r="A52" s="1405"/>
      <c r="B52" s="2549" t="s">
        <v>1460</v>
      </c>
      <c r="C52" s="2550"/>
      <c r="D52" s="2545"/>
      <c r="E52" s="2545"/>
      <c r="F52" s="2545"/>
      <c r="G52" s="2545"/>
      <c r="H52" s="2545"/>
      <c r="I52" s="2545"/>
      <c r="J52" s="2545"/>
      <c r="L52" s="1403"/>
      <c r="M52" s="1404"/>
      <c r="O52" s="1398"/>
      <c r="P52" s="4124" t="s">
        <v>7444</v>
      </c>
      <c r="Q52" s="4125"/>
      <c r="AA52" s="1788">
        <v>42</v>
      </c>
    </row>
    <row r="53" spans="1:27" ht="15.75" customHeight="1">
      <c r="B53" s="1402" t="s">
        <v>1456</v>
      </c>
      <c r="D53" s="1402"/>
      <c r="E53" s="1402"/>
      <c r="F53" s="1402"/>
      <c r="G53" s="1402"/>
      <c r="H53" s="2549"/>
      <c r="I53" s="1397"/>
      <c r="J53" s="1397"/>
      <c r="AA53" s="1787">
        <v>43</v>
      </c>
    </row>
    <row r="54" spans="1:27" ht="30" customHeight="1">
      <c r="A54" s="4073" t="s">
        <v>7683</v>
      </c>
      <c r="B54" s="4117"/>
      <c r="C54" s="4117"/>
      <c r="D54" s="4117"/>
      <c r="E54" s="4117"/>
      <c r="F54" s="4117"/>
      <c r="G54" s="4117"/>
      <c r="H54" s="4117"/>
      <c r="I54" s="4117"/>
      <c r="J54" s="4117"/>
      <c r="K54" s="4117"/>
      <c r="L54" s="4117"/>
      <c r="M54" s="4117"/>
      <c r="N54" s="4117"/>
      <c r="O54" s="4117"/>
      <c r="P54" s="4117"/>
      <c r="Q54" s="4118"/>
      <c r="AA54" s="1787">
        <v>44</v>
      </c>
    </row>
    <row r="55" spans="1:27" ht="15.75" customHeight="1">
      <c r="A55" s="1394"/>
      <c r="B55" s="1400" t="s">
        <v>1452</v>
      </c>
      <c r="C55" s="1394"/>
      <c r="D55" s="1394"/>
      <c r="E55" s="1394"/>
      <c r="F55" s="1394"/>
      <c r="G55" s="1394"/>
      <c r="H55" s="1394"/>
      <c r="I55" s="2545"/>
      <c r="J55" s="2545"/>
      <c r="K55" s="2545"/>
      <c r="L55" s="2545"/>
      <c r="M55" s="2545"/>
      <c r="N55" s="2545"/>
      <c r="O55" s="2545"/>
      <c r="P55" s="2545"/>
      <c r="Q55" s="1394"/>
      <c r="AA55" s="1787">
        <v>45</v>
      </c>
    </row>
    <row r="56" spans="1:27" ht="15" customHeight="1">
      <c r="A56" s="4091"/>
      <c r="B56" s="4091"/>
      <c r="C56" s="4091"/>
      <c r="D56" s="4091"/>
      <c r="E56" s="4091"/>
      <c r="F56" s="4091"/>
      <c r="G56" s="4091"/>
      <c r="H56" s="4091"/>
      <c r="I56" s="4091"/>
      <c r="J56" s="4091"/>
      <c r="K56" s="4091"/>
      <c r="L56" s="4091"/>
      <c r="M56" s="4091"/>
      <c r="N56" s="4091"/>
      <c r="O56" s="4091"/>
      <c r="P56" s="4091"/>
      <c r="Q56" s="4091"/>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57</v>
      </c>
      <c r="B59" s="2550" t="s">
        <v>1461</v>
      </c>
      <c r="C59" s="2550"/>
      <c r="D59" s="2545"/>
      <c r="E59" s="2545"/>
      <c r="F59" s="2545"/>
      <c r="G59" s="2545"/>
      <c r="H59" s="1406"/>
      <c r="J59" s="1405"/>
      <c r="K59" s="1388"/>
      <c r="L59" s="1405"/>
      <c r="M59" s="1407"/>
      <c r="O59" s="1398" t="s">
        <v>1450</v>
      </c>
      <c r="P59" s="4051"/>
      <c r="Q59" s="4079"/>
      <c r="AA59" s="1787">
        <v>49</v>
      </c>
    </row>
    <row r="60" spans="1:27" ht="15.75" customHeight="1">
      <c r="A60" s="1405"/>
      <c r="B60" s="1396" t="s">
        <v>1462</v>
      </c>
      <c r="L60" s="4062" t="s">
        <v>7684</v>
      </c>
      <c r="M60" s="4063"/>
      <c r="N60" s="4063"/>
      <c r="O60" s="4063"/>
      <c r="P60" s="4063"/>
      <c r="Q60" s="4064"/>
      <c r="AA60" s="1787">
        <v>50</v>
      </c>
    </row>
    <row r="61" spans="1:27" ht="15.95" customHeight="1">
      <c r="A61" s="1405"/>
      <c r="B61" s="1396" t="s">
        <v>1463</v>
      </c>
      <c r="D61" s="2548"/>
      <c r="E61" s="2548"/>
      <c r="F61" s="2548"/>
      <c r="N61" s="1408"/>
      <c r="O61" s="1408"/>
      <c r="P61" s="4060">
        <v>0.96799999999999997</v>
      </c>
      <c r="Q61" s="4061"/>
      <c r="AA61" s="1787">
        <v>51</v>
      </c>
    </row>
    <row r="62" spans="1:27" ht="15" customHeight="1">
      <c r="A62" s="1405"/>
      <c r="B62" s="1396" t="s">
        <v>1464</v>
      </c>
      <c r="D62" s="2548"/>
      <c r="E62" s="2548"/>
      <c r="F62" s="2548"/>
      <c r="L62" s="2549" t="s">
        <v>1465</v>
      </c>
      <c r="N62" s="1399"/>
      <c r="O62" s="1399"/>
      <c r="P62" s="4070">
        <v>5.0999999999999997E-2</v>
      </c>
      <c r="Q62" s="4071"/>
      <c r="AA62" s="1787">
        <v>52</v>
      </c>
    </row>
    <row r="63" spans="1:27" ht="15" customHeight="1">
      <c r="A63" s="1405"/>
      <c r="D63" s="2548"/>
      <c r="E63" s="2548"/>
      <c r="F63" s="2548"/>
      <c r="J63" s="1409"/>
      <c r="L63" s="1775" t="s">
        <v>1466</v>
      </c>
      <c r="N63" s="1399"/>
      <c r="O63" s="1399"/>
      <c r="P63" s="4068">
        <v>0</v>
      </c>
      <c r="Q63" s="4069"/>
      <c r="AA63" s="1787">
        <v>53</v>
      </c>
    </row>
    <row r="64" spans="1:27" ht="15.75" customHeight="1">
      <c r="B64" s="1410" t="s">
        <v>1456</v>
      </c>
      <c r="D64" s="1410"/>
      <c r="E64" s="1410"/>
      <c r="F64" s="1410"/>
      <c r="G64" s="1410"/>
      <c r="H64" s="2549"/>
      <c r="I64" s="1397"/>
      <c r="J64" s="1397"/>
      <c r="K64" s="1397"/>
      <c r="L64" s="1394"/>
      <c r="M64" s="1394"/>
      <c r="N64" s="1394"/>
      <c r="O64" s="1394"/>
      <c r="P64" s="1394"/>
      <c r="Q64" s="1394"/>
      <c r="AA64" s="1787">
        <v>54</v>
      </c>
    </row>
    <row r="65" spans="1:27" ht="193.5" customHeight="1">
      <c r="A65" s="4062" t="s">
        <v>7721</v>
      </c>
      <c r="B65" s="4062"/>
      <c r="C65" s="4062"/>
      <c r="D65" s="4062"/>
      <c r="E65" s="4062"/>
      <c r="F65" s="4062"/>
      <c r="G65" s="4062"/>
      <c r="H65" s="4062"/>
      <c r="I65" s="4062"/>
      <c r="J65" s="4062"/>
      <c r="K65" s="4062"/>
      <c r="L65" s="4062"/>
      <c r="M65" s="4062"/>
      <c r="N65" s="4062"/>
      <c r="O65" s="4062"/>
      <c r="P65" s="4062"/>
      <c r="Q65" s="4085"/>
      <c r="AA65" s="1787">
        <v>55</v>
      </c>
    </row>
    <row r="66" spans="1:27" ht="15.75" customHeight="1">
      <c r="B66" s="1400" t="s">
        <v>1452</v>
      </c>
      <c r="C66" s="1401"/>
      <c r="D66" s="2545"/>
      <c r="E66" s="2545"/>
      <c r="F66" s="2545"/>
      <c r="G66" s="2545"/>
      <c r="H66" s="2545"/>
      <c r="I66" s="2545"/>
      <c r="J66" s="2545"/>
      <c r="K66" s="2545"/>
      <c r="L66" s="2545"/>
      <c r="M66" s="2545"/>
      <c r="N66" s="2545"/>
      <c r="O66" s="2545"/>
      <c r="P66" s="2545"/>
      <c r="Q66" s="2545"/>
      <c r="AA66" s="1787">
        <v>56</v>
      </c>
    </row>
    <row r="67" spans="1:27" ht="15" customHeight="1">
      <c r="A67" s="4086"/>
      <c r="B67" s="4086"/>
      <c r="C67" s="4086"/>
      <c r="D67" s="4086"/>
      <c r="E67" s="4086"/>
      <c r="F67" s="4086"/>
      <c r="G67" s="4086"/>
      <c r="H67" s="4086"/>
      <c r="I67" s="4086"/>
      <c r="J67" s="4086"/>
      <c r="K67" s="4086"/>
      <c r="L67" s="4086"/>
      <c r="M67" s="4086"/>
      <c r="N67" s="4086"/>
      <c r="O67" s="4086"/>
      <c r="P67" s="4086"/>
      <c r="Q67" s="4087"/>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66</v>
      </c>
      <c r="B70" s="2550" t="s">
        <v>1467</v>
      </c>
      <c r="C70" s="2550"/>
      <c r="D70" s="2545"/>
      <c r="E70" s="2545"/>
      <c r="F70" s="2545"/>
      <c r="G70" s="2545"/>
      <c r="H70" s="2545"/>
      <c r="I70" s="2545"/>
      <c r="J70" s="2545"/>
      <c r="K70" s="2545"/>
      <c r="L70" s="2545"/>
      <c r="M70" s="2545"/>
      <c r="O70" s="1398" t="s">
        <v>1450</v>
      </c>
      <c r="P70" s="4088"/>
      <c r="Q70" s="4089"/>
      <c r="AA70" s="1787">
        <v>60</v>
      </c>
    </row>
    <row r="71" spans="1:27" ht="15.95" customHeight="1">
      <c r="A71" s="1405"/>
      <c r="B71" s="1396" t="s">
        <v>1468</v>
      </c>
      <c r="I71" s="1411"/>
      <c r="L71" s="4065"/>
      <c r="M71" s="4066"/>
      <c r="N71" s="4066"/>
      <c r="O71" s="4066"/>
      <c r="P71" s="4066"/>
      <c r="Q71" s="4067"/>
      <c r="AA71" s="1787">
        <v>61</v>
      </c>
    </row>
    <row r="72" spans="1:27" ht="15.95" customHeight="1">
      <c r="A72" s="1405"/>
      <c r="B72" s="1396" t="s">
        <v>1469</v>
      </c>
      <c r="O72" s="2552"/>
      <c r="P72" s="2768"/>
      <c r="Q72" s="2769"/>
      <c r="AA72" s="1787">
        <v>62</v>
      </c>
    </row>
    <row r="73" spans="1:27" ht="31.5" customHeight="1">
      <c r="B73" s="2550"/>
      <c r="C73" s="4072" t="s">
        <v>1470</v>
      </c>
      <c r="D73" s="4072"/>
      <c r="E73" s="4072"/>
      <c r="F73" s="4072"/>
      <c r="G73" s="4072"/>
      <c r="H73" s="4072"/>
      <c r="I73" s="4072"/>
      <c r="J73" s="4072"/>
      <c r="K73" s="4072"/>
      <c r="L73" s="4072"/>
      <c r="M73" s="4072"/>
      <c r="N73" s="4072"/>
      <c r="O73" s="4072"/>
      <c r="P73" s="1488"/>
      <c r="Q73" s="1501"/>
      <c r="AA73" s="1787">
        <v>63</v>
      </c>
    </row>
    <row r="74" spans="1:27" ht="15.75" customHeight="1">
      <c r="B74" s="1410" t="s">
        <v>1451</v>
      </c>
      <c r="D74" s="1410"/>
      <c r="E74" s="1410"/>
      <c r="F74" s="1410"/>
      <c r="G74" s="1410"/>
      <c r="H74" s="2549"/>
      <c r="I74" s="1397"/>
      <c r="J74" s="1397"/>
      <c r="K74" s="1397"/>
      <c r="L74" s="1394"/>
      <c r="M74" s="1394"/>
      <c r="N74" s="1394"/>
      <c r="O74" s="1394"/>
      <c r="P74" s="1394"/>
      <c r="Q74" s="1394"/>
      <c r="AA74" s="1787">
        <v>64</v>
      </c>
    </row>
    <row r="75" spans="1:27" ht="60" customHeight="1">
      <c r="A75" s="4073" t="s">
        <v>7390</v>
      </c>
      <c r="B75" s="4074"/>
      <c r="C75" s="4074"/>
      <c r="D75" s="4074"/>
      <c r="E75" s="4074"/>
      <c r="F75" s="4074"/>
      <c r="G75" s="4074"/>
      <c r="H75" s="4074"/>
      <c r="I75" s="4074"/>
      <c r="J75" s="4074"/>
      <c r="K75" s="4074"/>
      <c r="L75" s="4074"/>
      <c r="M75" s="4074"/>
      <c r="N75" s="4074"/>
      <c r="O75" s="4074"/>
      <c r="P75" s="4074"/>
      <c r="Q75" s="4075"/>
      <c r="AA75" s="1787">
        <v>65</v>
      </c>
    </row>
    <row r="76" spans="1:27" ht="15.75" customHeight="1">
      <c r="B76" s="1400" t="s">
        <v>1452</v>
      </c>
      <c r="C76" s="1401"/>
      <c r="D76" s="2545"/>
      <c r="E76" s="2545"/>
      <c r="F76" s="2545"/>
      <c r="G76" s="2545"/>
      <c r="H76" s="2545"/>
      <c r="I76" s="2545"/>
      <c r="J76" s="2545"/>
      <c r="K76" s="2545"/>
      <c r="L76" s="2545"/>
      <c r="M76" s="2545"/>
      <c r="N76" s="2545"/>
      <c r="O76" s="2545"/>
      <c r="P76" s="2545"/>
      <c r="Q76" s="2545"/>
      <c r="AA76" s="1788">
        <v>66</v>
      </c>
    </row>
    <row r="77" spans="1:27" ht="15" customHeight="1">
      <c r="A77" s="4076"/>
      <c r="B77" s="4077"/>
      <c r="C77" s="4077"/>
      <c r="D77" s="4077"/>
      <c r="E77" s="4077"/>
      <c r="F77" s="4077"/>
      <c r="G77" s="4077"/>
      <c r="H77" s="4077"/>
      <c r="I77" s="4077"/>
      <c r="J77" s="4077"/>
      <c r="K77" s="4077"/>
      <c r="L77" s="4077"/>
      <c r="M77" s="4077"/>
      <c r="N77" s="4077"/>
      <c r="O77" s="4077"/>
      <c r="P77" s="4077"/>
      <c r="Q77" s="4078"/>
      <c r="AA77" s="1787">
        <v>67</v>
      </c>
    </row>
    <row r="78" spans="1:27" ht="13.5" customHeight="1">
      <c r="AA78" s="1787">
        <v>68</v>
      </c>
    </row>
    <row r="79" spans="1:27" ht="13.5" customHeight="1">
      <c r="A79" s="1399"/>
      <c r="AA79" s="1787">
        <v>69</v>
      </c>
    </row>
    <row r="80" spans="1:27" ht="20.25" customHeight="1">
      <c r="A80" s="2550" t="s">
        <v>68</v>
      </c>
      <c r="B80" s="2550" t="s">
        <v>1471</v>
      </c>
      <c r="C80" s="2549"/>
      <c r="D80" s="2545"/>
      <c r="E80" s="2545"/>
      <c r="F80" s="2545"/>
      <c r="G80" s="2545"/>
      <c r="H80" s="2545"/>
      <c r="I80" s="2545"/>
      <c r="J80" s="2545"/>
      <c r="K80" s="2545"/>
      <c r="L80" s="2545"/>
      <c r="M80" s="2545"/>
      <c r="N80" s="1416"/>
      <c r="O80" s="1398" t="s">
        <v>1450</v>
      </c>
      <c r="P80" s="4051"/>
      <c r="Q80" s="4079"/>
      <c r="AA80" s="1787">
        <v>70</v>
      </c>
    </row>
    <row r="81" spans="1:28" ht="32.25" customHeight="1">
      <c r="A81" s="1405"/>
      <c r="B81" s="4072" t="s">
        <v>1472</v>
      </c>
      <c r="C81" s="4072"/>
      <c r="D81" s="4072"/>
      <c r="E81" s="4072"/>
      <c r="F81" s="4072"/>
      <c r="G81" s="4072"/>
      <c r="H81" s="4072"/>
      <c r="I81" s="4072"/>
      <c r="J81" s="4072"/>
      <c r="K81" s="4080"/>
      <c r="L81" s="4081" t="s">
        <v>7685</v>
      </c>
      <c r="M81" s="4082"/>
      <c r="N81" s="4082"/>
      <c r="O81" s="4082"/>
      <c r="P81" s="4083"/>
      <c r="Q81" s="4084"/>
      <c r="AA81" s="1787">
        <v>71</v>
      </c>
    </row>
    <row r="82" spans="1:28" ht="16.5" customHeight="1">
      <c r="B82" s="1396" t="s">
        <v>1473</v>
      </c>
      <c r="C82" s="1399"/>
      <c r="O82" s="2552"/>
      <c r="P82" s="2768" t="s">
        <v>7474</v>
      </c>
      <c r="Q82" s="2769"/>
      <c r="AA82" s="1787">
        <v>72</v>
      </c>
    </row>
    <row r="83" spans="1:28" ht="16.5" customHeight="1">
      <c r="A83" s="1405"/>
      <c r="B83" s="1396" t="s">
        <v>1474</v>
      </c>
      <c r="D83" s="2548"/>
      <c r="E83" s="2548"/>
      <c r="F83" s="2548"/>
      <c r="G83" s="2548"/>
      <c r="H83" s="2548"/>
      <c r="K83" s="2548"/>
      <c r="L83" s="2545"/>
      <c r="O83" s="2552"/>
      <c r="P83" s="1414" t="s">
        <v>7474</v>
      </c>
      <c r="Q83" s="1415"/>
      <c r="AA83" s="1787">
        <v>73</v>
      </c>
    </row>
    <row r="84" spans="1:28" ht="15" customHeight="1">
      <c r="A84" s="1405"/>
      <c r="B84" s="1396" t="s">
        <v>1475</v>
      </c>
      <c r="D84" s="2548"/>
      <c r="E84" s="2548"/>
      <c r="F84" s="2548"/>
      <c r="G84" s="2548"/>
      <c r="H84" s="2548"/>
      <c r="I84" s="1396" t="s">
        <v>1476</v>
      </c>
      <c r="K84" s="2548"/>
      <c r="L84" s="2545"/>
      <c r="M84" s="2545"/>
      <c r="N84" s="2545"/>
      <c r="O84" s="2552"/>
      <c r="P84" s="2768" t="s">
        <v>7474</v>
      </c>
      <c r="Q84" s="2769"/>
      <c r="AA84" s="1787">
        <v>74</v>
      </c>
    </row>
    <row r="85" spans="1:28" ht="16.5" customHeight="1">
      <c r="A85" s="1405"/>
      <c r="B85" s="2550"/>
      <c r="E85" s="2548"/>
      <c r="F85" s="2548"/>
      <c r="G85" s="2548"/>
      <c r="H85" s="2548"/>
      <c r="I85" s="1396" t="s">
        <v>1477</v>
      </c>
      <c r="K85" s="2548"/>
      <c r="L85" s="2545"/>
      <c r="M85" s="2545"/>
      <c r="O85" s="2552"/>
      <c r="P85" s="1412" t="s">
        <v>7474</v>
      </c>
      <c r="Q85" s="1413"/>
      <c r="AA85" s="1787">
        <v>75</v>
      </c>
    </row>
    <row r="86" spans="1:28" ht="16.5" customHeight="1">
      <c r="A86" s="1405"/>
      <c r="B86" s="2550"/>
      <c r="E86" s="2548"/>
      <c r="F86" s="2548"/>
      <c r="G86" s="2548"/>
      <c r="I86" s="1418"/>
      <c r="J86" s="1391" t="s">
        <v>1478</v>
      </c>
      <c r="K86" s="2548"/>
      <c r="L86" s="2545"/>
      <c r="M86" s="2545"/>
      <c r="O86" s="2552"/>
      <c r="P86" s="2547"/>
      <c r="Q86" s="1423"/>
      <c r="AA86" s="1787">
        <v>76</v>
      </c>
    </row>
    <row r="87" spans="1:28" s="1424" customFormat="1" ht="16.5" customHeight="1">
      <c r="A87" s="1417"/>
      <c r="B87" s="1418"/>
      <c r="E87" s="1419"/>
      <c r="F87" s="1419"/>
      <c r="G87" s="1391"/>
      <c r="H87" s="1391"/>
      <c r="I87" s="1396" t="s">
        <v>1479</v>
      </c>
      <c r="J87" s="1396"/>
      <c r="K87" s="1421"/>
      <c r="L87" s="2546"/>
      <c r="M87" s="2546"/>
      <c r="N87" s="1420"/>
      <c r="O87" s="1422"/>
      <c r="P87" s="1414" t="s">
        <v>7474</v>
      </c>
      <c r="Q87" s="1415"/>
      <c r="R87" s="1486"/>
      <c r="S87" s="1486"/>
      <c r="V87" s="1486"/>
      <c r="W87" s="1486"/>
      <c r="X87" s="1486"/>
      <c r="Y87" s="1486"/>
      <c r="Z87" s="1486"/>
      <c r="AA87" s="1787">
        <v>77</v>
      </c>
      <c r="AB87" s="1486"/>
    </row>
    <row r="88" spans="1:28" ht="32.25" customHeight="1">
      <c r="A88" s="1405"/>
      <c r="B88" s="4126" t="s">
        <v>1480</v>
      </c>
      <c r="C88" s="4126"/>
      <c r="D88" s="4126"/>
      <c r="E88" s="4126"/>
      <c r="F88" s="4126"/>
      <c r="G88" s="4126"/>
      <c r="H88" s="4126"/>
      <c r="I88" s="4126"/>
      <c r="J88" s="4126"/>
      <c r="K88" s="4126"/>
      <c r="L88" s="4126"/>
      <c r="M88" s="4126"/>
      <c r="N88" s="4126"/>
      <c r="O88" s="4126"/>
      <c r="P88" s="4126"/>
      <c r="Q88" s="4126"/>
      <c r="AA88" s="1787">
        <v>78</v>
      </c>
    </row>
    <row r="89" spans="1:28" ht="52.5" customHeight="1">
      <c r="B89" s="4062" t="s">
        <v>7390</v>
      </c>
      <c r="C89" s="4062"/>
      <c r="D89" s="4062"/>
      <c r="E89" s="4062"/>
      <c r="F89" s="4062"/>
      <c r="G89" s="4062"/>
      <c r="H89" s="4062"/>
      <c r="I89" s="4062"/>
      <c r="J89" s="4062"/>
      <c r="K89" s="4062"/>
      <c r="L89" s="4062"/>
      <c r="M89" s="4062"/>
      <c r="N89" s="4062"/>
      <c r="O89" s="4062"/>
      <c r="P89" s="4062"/>
      <c r="Q89" s="4090"/>
      <c r="AA89" s="1787">
        <v>79</v>
      </c>
    </row>
    <row r="90" spans="1:28" ht="15.75" customHeight="1">
      <c r="B90" s="1410" t="s">
        <v>1456</v>
      </c>
      <c r="D90" s="1410"/>
      <c r="E90" s="1410"/>
      <c r="F90" s="1410"/>
      <c r="G90" s="1410"/>
      <c r="H90" s="2549"/>
      <c r="I90" s="1397"/>
      <c r="J90" s="1397"/>
      <c r="K90" s="1397"/>
      <c r="L90" s="1394"/>
      <c r="M90" s="1394"/>
      <c r="N90" s="1394"/>
      <c r="O90" s="1394"/>
      <c r="P90" s="1394"/>
      <c r="Q90" s="1394"/>
      <c r="AA90" s="1787">
        <v>80</v>
      </c>
    </row>
    <row r="91" spans="1:28" ht="39" customHeight="1">
      <c r="A91" s="4062" t="s">
        <v>7719</v>
      </c>
      <c r="B91" s="4062"/>
      <c r="C91" s="4062"/>
      <c r="D91" s="4062"/>
      <c r="E91" s="4062"/>
      <c r="F91" s="4062"/>
      <c r="G91" s="4062"/>
      <c r="H91" s="4062"/>
      <c r="I91" s="4062"/>
      <c r="J91" s="4062"/>
      <c r="K91" s="4062"/>
      <c r="L91" s="4062"/>
      <c r="M91" s="4062"/>
      <c r="N91" s="4062"/>
      <c r="O91" s="4062"/>
      <c r="P91" s="4062"/>
      <c r="Q91" s="4085"/>
      <c r="AA91" s="1788">
        <v>81</v>
      </c>
    </row>
    <row r="92" spans="1:28" ht="15.75" customHeight="1">
      <c r="B92" s="1400" t="s">
        <v>1452</v>
      </c>
      <c r="C92" s="1401"/>
      <c r="D92" s="2545"/>
      <c r="E92" s="2545"/>
      <c r="F92" s="2545"/>
      <c r="G92" s="2545"/>
      <c r="H92" s="2545"/>
      <c r="I92" s="2545"/>
      <c r="J92" s="2545"/>
      <c r="K92" s="2545"/>
      <c r="L92" s="2545"/>
      <c r="M92" s="2545"/>
      <c r="N92" s="2545"/>
      <c r="O92" s="2545"/>
      <c r="P92" s="2545"/>
      <c r="Q92" s="2545"/>
      <c r="AA92" s="1787">
        <v>82</v>
      </c>
    </row>
    <row r="93" spans="1:28" ht="15" customHeight="1">
      <c r="A93" s="4086"/>
      <c r="B93" s="4086"/>
      <c r="C93" s="4086"/>
      <c r="D93" s="4086"/>
      <c r="E93" s="4086"/>
      <c r="F93" s="4086"/>
      <c r="G93" s="4086"/>
      <c r="H93" s="4086"/>
      <c r="I93" s="4086"/>
      <c r="J93" s="4086"/>
      <c r="K93" s="4086"/>
      <c r="L93" s="4086"/>
      <c r="M93" s="4086"/>
      <c r="N93" s="4086"/>
      <c r="O93" s="4086"/>
      <c r="P93" s="4086"/>
      <c r="Q93" s="4087"/>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 customHeight="1">
      <c r="A96" s="2550" t="s">
        <v>1481</v>
      </c>
      <c r="B96" s="2550" t="s">
        <v>1482</v>
      </c>
      <c r="C96" s="2550"/>
      <c r="D96" s="2545"/>
      <c r="E96" s="2545"/>
      <c r="F96" s="2545"/>
      <c r="G96" s="2545"/>
      <c r="H96" s="2545"/>
      <c r="I96" s="2545"/>
      <c r="J96" s="2545"/>
      <c r="K96" s="2545"/>
      <c r="N96" s="1416"/>
      <c r="O96" s="1398" t="s">
        <v>1450</v>
      </c>
      <c r="P96" s="4051"/>
      <c r="Q96" s="4079"/>
      <c r="AA96" s="1787">
        <v>86</v>
      </c>
    </row>
    <row r="97" spans="1:27" ht="14.1" customHeight="1">
      <c r="A97" s="1405"/>
      <c r="B97" s="1396" t="s">
        <v>1483</v>
      </c>
      <c r="F97" s="1441" t="str">
        <f>IF(L97="Ground lease/Option","Ground lease/Option:","")</f>
        <v>Ground lease/Option:</v>
      </c>
      <c r="H97" s="1443" t="str">
        <f>IF(L97="Ground lease/Option","Annual Pymt:","")</f>
        <v>Annual Pymt:</v>
      </c>
      <c r="I97" s="1444" t="str">
        <f>IF(M137="Ground lease/Option",'Part V-Revenues &amp; Expenses'!$F$275,"")</f>
        <v/>
      </c>
      <c r="J97" s="1442" t="str">
        <f>IF(L97="Ground lease/Option","Term (yrs):","")</f>
        <v>Term (yrs):</v>
      </c>
      <c r="K97" s="1482" t="str">
        <f>IF(M137="Ground lease/Option",'Part V-Revenues &amp; Expenses'!$L$275,"")</f>
        <v/>
      </c>
      <c r="L97" s="4127" t="s">
        <v>6517</v>
      </c>
      <c r="M97" s="4128"/>
      <c r="N97" s="4129"/>
      <c r="O97" s="4051" t="s">
        <v>720</v>
      </c>
      <c r="P97" s="4052"/>
      <c r="Q97" s="4053"/>
      <c r="AA97" s="1787">
        <v>87</v>
      </c>
    </row>
    <row r="98" spans="1:27" ht="14.1" customHeight="1">
      <c r="A98" s="1405"/>
      <c r="B98" s="1396" t="s">
        <v>1484</v>
      </c>
      <c r="L98" s="4065" t="s">
        <v>7718</v>
      </c>
      <c r="M98" s="4066"/>
      <c r="N98" s="4066"/>
      <c r="O98" s="4066"/>
      <c r="P98" s="4066"/>
      <c r="Q98" s="4067"/>
      <c r="AA98" s="1787">
        <v>88</v>
      </c>
    </row>
    <row r="99" spans="1:27" ht="15.75" customHeight="1">
      <c r="B99" s="1410" t="s">
        <v>1456</v>
      </c>
      <c r="D99" s="1410"/>
      <c r="E99" s="1410"/>
      <c r="F99" s="1410"/>
      <c r="G99" s="1410"/>
      <c r="H99" s="2549"/>
      <c r="I99" s="1397"/>
      <c r="J99" s="1397"/>
      <c r="K99" s="1397"/>
      <c r="L99" s="1394"/>
      <c r="M99" s="1394"/>
      <c r="N99" s="1394"/>
      <c r="O99" s="1394"/>
      <c r="P99" s="1394"/>
      <c r="Q99" s="1394"/>
      <c r="AA99" s="1787">
        <v>89</v>
      </c>
    </row>
    <row r="100" spans="1:27" ht="30" customHeight="1">
      <c r="A100" s="4062" t="s">
        <v>7720</v>
      </c>
      <c r="B100" s="4062"/>
      <c r="C100" s="4062"/>
      <c r="D100" s="4062"/>
      <c r="E100" s="4062"/>
      <c r="F100" s="4062"/>
      <c r="G100" s="4062"/>
      <c r="H100" s="4062"/>
      <c r="I100" s="4062"/>
      <c r="J100" s="4062"/>
      <c r="K100" s="4062"/>
      <c r="L100" s="4062"/>
      <c r="M100" s="4062"/>
      <c r="N100" s="4062"/>
      <c r="O100" s="4062"/>
      <c r="P100" s="4062"/>
      <c r="Q100" s="4090"/>
      <c r="AA100" s="1788">
        <v>90</v>
      </c>
    </row>
    <row r="101" spans="1:27" ht="15.75" customHeight="1">
      <c r="B101" s="1400" t="s">
        <v>1452</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4086"/>
      <c r="B102" s="4086"/>
      <c r="C102" s="4086"/>
      <c r="D102" s="4086"/>
      <c r="E102" s="4086"/>
      <c r="F102" s="4086"/>
      <c r="G102" s="4086"/>
      <c r="H102" s="4086"/>
      <c r="I102" s="4086"/>
      <c r="J102" s="4086"/>
      <c r="K102" s="4086"/>
      <c r="L102" s="4086"/>
      <c r="M102" s="4086"/>
      <c r="N102" s="4086"/>
      <c r="O102" s="4086"/>
      <c r="P102" s="4086"/>
      <c r="Q102" s="4091"/>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 customHeight="1">
      <c r="A105" s="2550" t="s">
        <v>1485</v>
      </c>
      <c r="B105" s="2550" t="s">
        <v>1486</v>
      </c>
      <c r="C105" s="2550"/>
      <c r="D105" s="2545"/>
      <c r="E105" s="2545"/>
      <c r="F105" s="2545"/>
      <c r="G105" s="2545"/>
      <c r="H105" s="2545"/>
      <c r="I105" s="2545"/>
      <c r="J105" s="2545"/>
      <c r="K105" s="2545"/>
      <c r="L105" s="2545"/>
      <c r="M105" s="2545"/>
      <c r="O105" s="1398" t="s">
        <v>1450</v>
      </c>
      <c r="P105" s="4051"/>
      <c r="Q105" s="4079"/>
      <c r="AA105" s="1787">
        <v>95</v>
      </c>
    </row>
    <row r="106" spans="1:27" ht="15.75" customHeight="1">
      <c r="B106" s="1410" t="s">
        <v>1456</v>
      </c>
      <c r="D106" s="1410"/>
      <c r="E106" s="1410"/>
      <c r="F106" s="1410"/>
      <c r="G106" s="1410"/>
      <c r="H106" s="2549"/>
      <c r="I106" s="1397"/>
      <c r="J106" s="1397"/>
      <c r="K106" s="1397"/>
      <c r="L106" s="1394"/>
      <c r="M106" s="1394"/>
      <c r="N106" s="1394"/>
      <c r="O106" s="1394"/>
      <c r="P106" s="1394"/>
      <c r="Q106" s="1394"/>
      <c r="AA106" s="1787">
        <v>96</v>
      </c>
    </row>
    <row r="107" spans="1:27" ht="26.25" customHeight="1">
      <c r="A107" s="4062" t="s">
        <v>7686</v>
      </c>
      <c r="B107" s="4062"/>
      <c r="C107" s="4062"/>
      <c r="D107" s="4062"/>
      <c r="E107" s="4062"/>
      <c r="F107" s="4062"/>
      <c r="G107" s="4062"/>
      <c r="H107" s="4062"/>
      <c r="I107" s="4062"/>
      <c r="J107" s="4062"/>
      <c r="K107" s="4062"/>
      <c r="L107" s="4062"/>
      <c r="M107" s="4062"/>
      <c r="N107" s="4062"/>
      <c r="O107" s="4062"/>
      <c r="P107" s="4062"/>
      <c r="Q107" s="4090"/>
      <c r="AA107" s="1787">
        <v>97</v>
      </c>
    </row>
    <row r="108" spans="1:27" ht="15.75" customHeight="1">
      <c r="B108" s="1400" t="s">
        <v>1452</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4086"/>
      <c r="B109" s="4086"/>
      <c r="C109" s="4086"/>
      <c r="D109" s="4086"/>
      <c r="E109" s="4086"/>
      <c r="F109" s="4086"/>
      <c r="G109" s="4086"/>
      <c r="H109" s="4086"/>
      <c r="I109" s="4086"/>
      <c r="J109" s="4086"/>
      <c r="K109" s="4086"/>
      <c r="L109" s="4086"/>
      <c r="M109" s="4086"/>
      <c r="N109" s="4086"/>
      <c r="O109" s="4086"/>
      <c r="P109" s="4086"/>
      <c r="Q109" s="4091"/>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 customHeight="1">
      <c r="A112" s="2550" t="s">
        <v>1487</v>
      </c>
      <c r="B112" s="4130" t="s">
        <v>1488</v>
      </c>
      <c r="C112" s="4130"/>
      <c r="D112" s="4130"/>
      <c r="N112" s="1416"/>
      <c r="O112" s="1398" t="s">
        <v>1450</v>
      </c>
      <c r="P112" s="4051"/>
      <c r="Q112" s="4079"/>
      <c r="AA112" s="1787">
        <v>102</v>
      </c>
    </row>
    <row r="113" spans="1:27" ht="15.75" customHeight="1">
      <c r="B113" s="1410" t="s">
        <v>1456</v>
      </c>
      <c r="D113" s="1410"/>
      <c r="E113" s="1410"/>
      <c r="F113" s="1410"/>
      <c r="G113" s="1410"/>
      <c r="H113" s="2549"/>
      <c r="I113" s="1397"/>
      <c r="J113" s="1397"/>
      <c r="K113" s="1397"/>
      <c r="L113" s="1394"/>
      <c r="M113" s="1394"/>
      <c r="N113" s="1394"/>
      <c r="O113" s="1394"/>
      <c r="P113" s="1394"/>
      <c r="Q113" s="1394"/>
      <c r="AA113" s="1787">
        <v>103</v>
      </c>
    </row>
    <row r="114" spans="1:27" ht="30" customHeight="1">
      <c r="A114" s="4062" t="s">
        <v>7722</v>
      </c>
      <c r="B114" s="4062"/>
      <c r="C114" s="4062"/>
      <c r="D114" s="4062"/>
      <c r="E114" s="4062"/>
      <c r="F114" s="4062"/>
      <c r="G114" s="4062"/>
      <c r="H114" s="4062"/>
      <c r="I114" s="4062"/>
      <c r="J114" s="4062"/>
      <c r="K114" s="4062"/>
      <c r="L114" s="4062"/>
      <c r="M114" s="4062"/>
      <c r="N114" s="4062"/>
      <c r="O114" s="4062"/>
      <c r="P114" s="4062"/>
      <c r="Q114" s="4090"/>
      <c r="AA114" s="1787">
        <v>104</v>
      </c>
    </row>
    <row r="115" spans="1:27" ht="15.75" customHeight="1">
      <c r="B115" s="1400" t="s">
        <v>1452</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4086"/>
      <c r="B116" s="4086"/>
      <c r="C116" s="4086"/>
      <c r="D116" s="4086"/>
      <c r="E116" s="4086"/>
      <c r="F116" s="4086"/>
      <c r="G116" s="4086"/>
      <c r="H116" s="4086"/>
      <c r="I116" s="4086"/>
      <c r="J116" s="4086"/>
      <c r="K116" s="4086"/>
      <c r="L116" s="4086"/>
      <c r="M116" s="4086"/>
      <c r="N116" s="4086"/>
      <c r="O116" s="4086"/>
      <c r="P116" s="4086"/>
      <c r="Q116" s="4091"/>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 customHeight="1">
      <c r="A119" s="2550" t="s">
        <v>1489</v>
      </c>
      <c r="B119" s="2550" t="s">
        <v>1490</v>
      </c>
      <c r="C119" s="2550"/>
      <c r="D119" s="2545"/>
      <c r="E119" s="2545"/>
      <c r="G119" s="2545"/>
      <c r="J119" s="2548"/>
      <c r="K119" s="2548"/>
      <c r="L119" s="2548"/>
      <c r="M119" s="2548"/>
      <c r="N119" s="1416"/>
      <c r="O119" s="1398" t="s">
        <v>1450</v>
      </c>
      <c r="P119" s="4088"/>
      <c r="Q119" s="4089"/>
      <c r="AA119" s="1787">
        <v>109</v>
      </c>
    </row>
    <row r="120" spans="1:27" ht="14.1" customHeight="1">
      <c r="A120" s="1405"/>
      <c r="B120" s="1396" t="s">
        <v>1491</v>
      </c>
      <c r="J120" s="1396" t="s">
        <v>1492</v>
      </c>
      <c r="M120" s="4057" t="s">
        <v>7390</v>
      </c>
      <c r="N120" s="4058"/>
      <c r="O120" s="4058"/>
      <c r="P120" s="4058"/>
      <c r="Q120" s="4059"/>
      <c r="AA120" s="1787">
        <v>110</v>
      </c>
    </row>
    <row r="121" spans="1:27" ht="14.1" customHeight="1">
      <c r="A121" s="1405"/>
      <c r="B121" s="1405"/>
      <c r="J121" s="1396" t="s">
        <v>1494</v>
      </c>
      <c r="M121" s="4054" t="s">
        <v>7688</v>
      </c>
      <c r="N121" s="4055"/>
      <c r="O121" s="4055"/>
      <c r="P121" s="4055"/>
      <c r="Q121" s="4056"/>
      <c r="AA121" s="1787">
        <v>111</v>
      </c>
    </row>
    <row r="122" spans="1:27" ht="15.75" customHeight="1">
      <c r="A122" s="1405"/>
      <c r="B122" s="1410" t="s">
        <v>1456</v>
      </c>
      <c r="C122" s="1425"/>
      <c r="D122" s="1425"/>
      <c r="E122" s="1425"/>
      <c r="F122" s="1425"/>
      <c r="H122" s="1399"/>
      <c r="I122" s="1399"/>
      <c r="J122" s="1399"/>
      <c r="K122" s="1399"/>
      <c r="L122" s="1399"/>
      <c r="M122" s="1399"/>
      <c r="N122" s="1399"/>
      <c r="O122" s="1399"/>
      <c r="P122" s="1399"/>
      <c r="Q122" s="1399"/>
      <c r="AA122" s="1787">
        <v>112</v>
      </c>
    </row>
    <row r="123" spans="1:27" ht="15" customHeight="1">
      <c r="A123" s="4062" t="s">
        <v>7723</v>
      </c>
      <c r="B123" s="4062"/>
      <c r="C123" s="4062"/>
      <c r="D123" s="4062"/>
      <c r="E123" s="4062"/>
      <c r="F123" s="4062"/>
      <c r="G123" s="4062"/>
      <c r="H123" s="4062"/>
      <c r="I123" s="4062"/>
      <c r="J123" s="4062"/>
      <c r="K123" s="4062"/>
      <c r="L123" s="4062"/>
      <c r="M123" s="4062"/>
      <c r="N123" s="4062"/>
      <c r="O123" s="4062"/>
      <c r="P123" s="4062"/>
      <c r="Q123" s="4090"/>
      <c r="AA123" s="1787">
        <v>113</v>
      </c>
    </row>
    <row r="124" spans="1:27" ht="15.75" customHeight="1">
      <c r="B124" s="1400" t="s">
        <v>1452</v>
      </c>
      <c r="C124" s="1401"/>
      <c r="D124" s="2545"/>
      <c r="E124" s="2545"/>
      <c r="F124" s="2545"/>
      <c r="G124" s="2545"/>
      <c r="H124" s="2545"/>
      <c r="I124" s="2545"/>
      <c r="J124" s="2545"/>
      <c r="K124" s="2545"/>
      <c r="L124" s="2545"/>
      <c r="M124" s="2545"/>
      <c r="N124" s="2545"/>
      <c r="O124" s="2545"/>
      <c r="P124" s="2545"/>
      <c r="Q124" s="2545"/>
      <c r="AA124" s="1788">
        <v>114</v>
      </c>
    </row>
    <row r="125" spans="1:27" ht="18.600000000000001" customHeight="1">
      <c r="A125" s="4086"/>
      <c r="B125" s="4086"/>
      <c r="C125" s="4086"/>
      <c r="D125" s="4086"/>
      <c r="E125" s="4086"/>
      <c r="F125" s="4086"/>
      <c r="G125" s="4086"/>
      <c r="H125" s="4086"/>
      <c r="I125" s="4086"/>
      <c r="J125" s="4086"/>
      <c r="K125" s="4086"/>
      <c r="L125" s="4086"/>
      <c r="M125" s="4086"/>
      <c r="N125" s="4086"/>
      <c r="O125" s="4086"/>
      <c r="P125" s="4086"/>
      <c r="Q125" s="4087"/>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1495</v>
      </c>
      <c r="B128" s="1395" t="s">
        <v>1496</v>
      </c>
      <c r="C128" s="1395"/>
      <c r="D128" s="1395"/>
      <c r="E128" s="1395"/>
      <c r="F128" s="1395"/>
      <c r="G128" s="2545"/>
      <c r="H128" s="2545"/>
      <c r="J128" s="2545"/>
      <c r="K128" s="2545"/>
      <c r="L128" s="2545"/>
      <c r="M128" s="2545"/>
      <c r="N128" s="1416"/>
      <c r="O128" s="1398" t="s">
        <v>1450</v>
      </c>
      <c r="P128" s="4088"/>
      <c r="Q128" s="4089"/>
      <c r="AA128" s="1787">
        <v>118</v>
      </c>
    </row>
    <row r="129" spans="1:27" ht="14.45" customHeight="1">
      <c r="A129" s="1405"/>
      <c r="B129" s="1396" t="s">
        <v>1497</v>
      </c>
      <c r="J129" s="1396" t="s">
        <v>1498</v>
      </c>
      <c r="M129" s="4057" t="s">
        <v>7687</v>
      </c>
      <c r="N129" s="4058"/>
      <c r="O129" s="4058"/>
      <c r="P129" s="4058"/>
      <c r="Q129" s="4059"/>
      <c r="R129" s="1426"/>
      <c r="AA129" s="1787">
        <v>119</v>
      </c>
    </row>
    <row r="130" spans="1:27" ht="14.45" customHeight="1">
      <c r="A130" s="1425"/>
      <c r="B130" s="1405"/>
      <c r="J130" s="1396" t="s">
        <v>1499</v>
      </c>
      <c r="M130" s="4054" t="s">
        <v>7687</v>
      </c>
      <c r="N130" s="4055"/>
      <c r="O130" s="4055"/>
      <c r="P130" s="4055"/>
      <c r="Q130" s="4056"/>
      <c r="R130" s="1426"/>
      <c r="AA130" s="1787">
        <v>120</v>
      </c>
    </row>
    <row r="131" spans="1:27" ht="15.75" customHeight="1">
      <c r="B131" s="1410" t="s">
        <v>1456</v>
      </c>
      <c r="D131" s="1410"/>
      <c r="E131" s="1410"/>
      <c r="F131" s="1410"/>
      <c r="G131" s="1410"/>
      <c r="H131" s="2549"/>
      <c r="I131" s="1397"/>
      <c r="J131" s="1397"/>
      <c r="K131" s="1397"/>
      <c r="L131" s="1394"/>
      <c r="M131" s="1394"/>
      <c r="N131" s="1394"/>
      <c r="O131" s="1394"/>
      <c r="P131" s="1394"/>
      <c r="Q131" s="1394"/>
      <c r="AA131" s="1787">
        <v>121</v>
      </c>
    </row>
    <row r="132" spans="1:27" ht="15" customHeight="1">
      <c r="A132" s="4062" t="s">
        <v>7724</v>
      </c>
      <c r="B132" s="4062"/>
      <c r="C132" s="4062"/>
      <c r="D132" s="4062"/>
      <c r="E132" s="4062"/>
      <c r="F132" s="4062"/>
      <c r="G132" s="4062"/>
      <c r="H132" s="4062"/>
      <c r="I132" s="4062"/>
      <c r="J132" s="4062"/>
      <c r="K132" s="4062"/>
      <c r="L132" s="4062"/>
      <c r="M132" s="4062"/>
      <c r="N132" s="4062"/>
      <c r="O132" s="4062"/>
      <c r="P132" s="4062"/>
      <c r="Q132" s="4090"/>
      <c r="AA132" s="1787">
        <v>122</v>
      </c>
    </row>
    <row r="133" spans="1:27" ht="15.75" customHeight="1">
      <c r="B133" s="1400" t="s">
        <v>1452</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4086"/>
      <c r="B134" s="4086"/>
      <c r="C134" s="4086"/>
      <c r="D134" s="4086"/>
      <c r="E134" s="4086"/>
      <c r="F134" s="4086"/>
      <c r="G134" s="4086"/>
      <c r="H134" s="4086"/>
      <c r="I134" s="4086"/>
      <c r="J134" s="4086"/>
      <c r="K134" s="4086"/>
      <c r="L134" s="4086"/>
      <c r="M134" s="4086"/>
      <c r="N134" s="4086"/>
      <c r="O134" s="4086"/>
      <c r="P134" s="4086"/>
      <c r="Q134" s="4087"/>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1500</v>
      </c>
      <c r="B137" s="2550" t="s">
        <v>1501</v>
      </c>
      <c r="C137" s="2550"/>
      <c r="D137" s="2545"/>
      <c r="E137" s="2545"/>
      <c r="F137" s="2545"/>
      <c r="G137" s="2545"/>
      <c r="H137" s="2545"/>
      <c r="I137" s="2545"/>
      <c r="J137" s="2545"/>
      <c r="K137" s="2545"/>
      <c r="L137" s="2545"/>
      <c r="M137" s="2545"/>
      <c r="O137" s="1398" t="s">
        <v>1450</v>
      </c>
      <c r="P137" s="4051"/>
      <c r="Q137" s="4079"/>
      <c r="AA137" s="1787">
        <v>127</v>
      </c>
    </row>
    <row r="138" spans="1:27" ht="27.6" customHeight="1">
      <c r="A138" s="1399"/>
      <c r="B138" s="4072" t="s">
        <v>1502</v>
      </c>
      <c r="C138" s="4072"/>
      <c r="D138" s="4072"/>
      <c r="E138" s="4072"/>
      <c r="F138" s="4072"/>
      <c r="G138" s="4072"/>
      <c r="H138" s="4072"/>
      <c r="I138" s="4072"/>
      <c r="J138" s="4072"/>
      <c r="K138" s="4072"/>
      <c r="L138" s="4072"/>
      <c r="M138" s="4072"/>
      <c r="N138" s="4072"/>
      <c r="O138" s="4080"/>
      <c r="P138" s="4124" t="s">
        <v>7444</v>
      </c>
      <c r="Q138" s="4125"/>
      <c r="AA138" s="1787">
        <v>128</v>
      </c>
    </row>
    <row r="139" spans="1:27" ht="20.25" customHeight="1">
      <c r="A139" s="1405" t="s">
        <v>185</v>
      </c>
      <c r="B139" s="1396" t="s">
        <v>1503</v>
      </c>
      <c r="O139" s="2552"/>
      <c r="P139" s="1399"/>
      <c r="Q139" s="1399"/>
      <c r="AA139" s="1788">
        <v>129</v>
      </c>
    </row>
    <row r="140" spans="1:27" ht="15" customHeight="1">
      <c r="A140" s="1405"/>
      <c r="B140" s="2549"/>
      <c r="C140" s="1396" t="s">
        <v>1504</v>
      </c>
      <c r="J140" s="2552"/>
      <c r="K140" s="1399"/>
      <c r="L140" s="1399"/>
      <c r="M140" s="4144" t="s">
        <v>7689</v>
      </c>
      <c r="N140" s="4145"/>
      <c r="O140" s="4145"/>
      <c r="P140" s="4145"/>
      <c r="Q140" s="4146"/>
      <c r="AA140" s="1787">
        <v>130</v>
      </c>
    </row>
    <row r="141" spans="1:27" ht="15" customHeight="1">
      <c r="A141" s="1405"/>
      <c r="B141" s="2549"/>
      <c r="C141" s="2549" t="s">
        <v>1505</v>
      </c>
      <c r="E141" s="2549"/>
      <c r="F141" s="2549"/>
      <c r="G141" s="2549"/>
      <c r="H141" s="2549"/>
      <c r="J141" s="2552"/>
      <c r="K141" s="1399"/>
      <c r="L141" s="1399"/>
      <c r="M141" s="4131" t="s">
        <v>7690</v>
      </c>
      <c r="N141" s="4132"/>
      <c r="O141" s="4132"/>
      <c r="P141" s="4132"/>
      <c r="Q141" s="4133"/>
      <c r="AA141" s="1787">
        <v>131</v>
      </c>
    </row>
    <row r="142" spans="1:27" ht="15" customHeight="1">
      <c r="A142" s="1405"/>
      <c r="B142" s="2549"/>
      <c r="C142" s="4134" t="s">
        <v>1506</v>
      </c>
      <c r="D142" s="4135"/>
      <c r="E142" s="4135"/>
      <c r="F142" s="4135"/>
      <c r="G142" s="4135"/>
      <c r="H142" s="4135"/>
      <c r="I142" s="4135"/>
      <c r="J142" s="4135"/>
      <c r="K142" s="4135"/>
      <c r="L142" s="4135"/>
      <c r="M142" s="4136"/>
      <c r="N142" s="4136"/>
      <c r="O142" s="4136"/>
      <c r="P142" s="4136"/>
      <c r="Q142" s="4137"/>
      <c r="AA142" s="1787">
        <v>132</v>
      </c>
    </row>
    <row r="143" spans="1:27" ht="15" customHeight="1">
      <c r="A143" s="1405"/>
      <c r="B143" s="2549"/>
      <c r="C143" s="2549" t="s">
        <v>1507</v>
      </c>
      <c r="E143" s="2549"/>
      <c r="F143" s="2549"/>
      <c r="G143" s="2549"/>
      <c r="H143" s="2549"/>
      <c r="J143" s="2552"/>
      <c r="K143" s="1399"/>
      <c r="L143" s="1399"/>
      <c r="M143" s="4054" t="s">
        <v>7691</v>
      </c>
      <c r="N143" s="4055"/>
      <c r="O143" s="4055"/>
      <c r="P143" s="4055"/>
      <c r="Q143" s="4056"/>
      <c r="AA143" s="1787">
        <v>133</v>
      </c>
    </row>
    <row r="144" spans="1:27" ht="20.25" customHeight="1">
      <c r="A144" s="1405" t="s">
        <v>197</v>
      </c>
      <c r="B144" s="4072" t="s">
        <v>1508</v>
      </c>
      <c r="C144" s="4072"/>
      <c r="D144" s="4072"/>
      <c r="E144" s="4072"/>
      <c r="F144" s="4072"/>
      <c r="G144" s="4072"/>
      <c r="H144" s="4072"/>
      <c r="I144" s="4072"/>
      <c r="J144" s="4072"/>
      <c r="K144" s="4072"/>
      <c r="L144" s="4072"/>
      <c r="M144" s="4072"/>
      <c r="N144" s="4072"/>
      <c r="O144" s="2552"/>
      <c r="P144" s="1427"/>
      <c r="Q144" s="1394"/>
      <c r="AA144" s="1787">
        <v>134</v>
      </c>
    </row>
    <row r="145" spans="1:27" ht="27.6" customHeight="1">
      <c r="A145" s="1417"/>
      <c r="B145" s="2545"/>
      <c r="C145" s="4072" t="s">
        <v>1509</v>
      </c>
      <c r="D145" s="4072"/>
      <c r="E145" s="4072"/>
      <c r="F145" s="4072"/>
      <c r="G145" s="4072"/>
      <c r="H145" s="4072"/>
      <c r="I145" s="4072"/>
      <c r="J145" s="4072"/>
      <c r="K145" s="4072"/>
      <c r="L145" s="4072"/>
      <c r="M145" s="4072"/>
      <c r="N145" s="4072"/>
      <c r="O145" s="4072"/>
      <c r="P145" s="4072"/>
      <c r="Q145" s="4072"/>
      <c r="AA145" s="1787">
        <v>135</v>
      </c>
    </row>
    <row r="146" spans="1:27" ht="15" customHeight="1">
      <c r="A146" s="1394"/>
      <c r="B146" s="1422" t="s">
        <v>1510</v>
      </c>
      <c r="C146" s="4138" t="s">
        <v>1705</v>
      </c>
      <c r="D146" s="4139"/>
      <c r="E146" s="4139"/>
      <c r="F146" s="4139"/>
      <c r="G146" s="4139"/>
      <c r="H146" s="4140"/>
      <c r="I146" s="1399"/>
      <c r="J146" s="4141" t="s">
        <v>1512</v>
      </c>
      <c r="K146" s="4142"/>
      <c r="L146" s="4142"/>
      <c r="M146" s="4142"/>
      <c r="N146" s="4142"/>
      <c r="O146" s="4142"/>
      <c r="P146" s="4142"/>
      <c r="Q146" s="4143"/>
      <c r="AA146" s="1787">
        <v>136</v>
      </c>
    </row>
    <row r="147" spans="1:27" ht="15" customHeight="1">
      <c r="A147" s="1394"/>
      <c r="B147" s="1422" t="s">
        <v>1513</v>
      </c>
      <c r="C147" s="4148" t="s">
        <v>1707</v>
      </c>
      <c r="D147" s="4149"/>
      <c r="E147" s="4149"/>
      <c r="F147" s="4149"/>
      <c r="G147" s="4149"/>
      <c r="H147" s="4150"/>
      <c r="I147" s="1399"/>
      <c r="J147" s="4151" t="s">
        <v>1512</v>
      </c>
      <c r="K147" s="4152"/>
      <c r="L147" s="4152"/>
      <c r="M147" s="4152"/>
      <c r="N147" s="4152"/>
      <c r="O147" s="4152"/>
      <c r="P147" s="4152"/>
      <c r="Q147" s="4153"/>
      <c r="AA147" s="1787">
        <v>137</v>
      </c>
    </row>
    <row r="148" spans="1:27" ht="15" customHeight="1">
      <c r="A148" s="1394"/>
      <c r="B148" s="1422" t="s">
        <v>1514</v>
      </c>
      <c r="C148" s="4148" t="s">
        <v>1511</v>
      </c>
      <c r="D148" s="4149"/>
      <c r="E148" s="4149"/>
      <c r="F148" s="4149"/>
      <c r="G148" s="4149"/>
      <c r="H148" s="4150"/>
      <c r="I148" s="1399"/>
      <c r="J148" s="4151" t="s">
        <v>1512</v>
      </c>
      <c r="K148" s="4152"/>
      <c r="L148" s="4152"/>
      <c r="M148" s="4152"/>
      <c r="N148" s="4152"/>
      <c r="O148" s="4152"/>
      <c r="P148" s="4152"/>
      <c r="Q148" s="4153"/>
      <c r="AA148" s="1788">
        <v>138</v>
      </c>
    </row>
    <row r="149" spans="1:27" ht="15" customHeight="1">
      <c r="A149" s="1394"/>
      <c r="B149" s="1422" t="s">
        <v>1515</v>
      </c>
      <c r="C149" s="4154" t="s">
        <v>1511</v>
      </c>
      <c r="D149" s="4155"/>
      <c r="E149" s="4155"/>
      <c r="F149" s="4155"/>
      <c r="G149" s="4155"/>
      <c r="H149" s="4156"/>
      <c r="I149" s="1399"/>
      <c r="J149" s="4157" t="s">
        <v>1512</v>
      </c>
      <c r="K149" s="4158"/>
      <c r="L149" s="4158"/>
      <c r="M149" s="4158"/>
      <c r="N149" s="4158"/>
      <c r="O149" s="4158"/>
      <c r="P149" s="4158"/>
      <c r="Q149" s="4159"/>
      <c r="AA149" s="1787">
        <v>139</v>
      </c>
    </row>
    <row r="150" spans="1:27" ht="15.75" customHeight="1">
      <c r="B150" s="1402" t="s">
        <v>1456</v>
      </c>
      <c r="D150" s="1402"/>
      <c r="E150" s="1402"/>
      <c r="F150" s="1402"/>
      <c r="G150" s="1402"/>
      <c r="H150" s="2549"/>
      <c r="I150" s="1397"/>
      <c r="J150" s="1397"/>
      <c r="K150" s="1397"/>
      <c r="L150" s="1394"/>
      <c r="M150" s="1394"/>
      <c r="N150" s="1394"/>
      <c r="O150" s="1394"/>
      <c r="P150" s="1399"/>
      <c r="Q150" s="1399"/>
      <c r="AA150" s="1787">
        <v>140</v>
      </c>
    </row>
    <row r="151" spans="1:27" ht="15" customHeight="1">
      <c r="A151" s="4062" t="s">
        <v>7725</v>
      </c>
      <c r="B151" s="4062"/>
      <c r="C151" s="4062"/>
      <c r="D151" s="4062"/>
      <c r="E151" s="4062"/>
      <c r="F151" s="4062"/>
      <c r="G151" s="4062"/>
      <c r="H151" s="4062"/>
      <c r="I151" s="4062"/>
      <c r="J151" s="4062"/>
      <c r="K151" s="4062"/>
      <c r="L151" s="4062"/>
      <c r="M151" s="4062"/>
      <c r="N151" s="4062"/>
      <c r="O151" s="4062"/>
      <c r="P151" s="4062"/>
      <c r="Q151" s="4090"/>
      <c r="AA151" s="1787">
        <v>141</v>
      </c>
    </row>
    <row r="152" spans="1:27" ht="15.75" customHeight="1">
      <c r="B152" s="1400" t="s">
        <v>1452</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4086"/>
      <c r="B153" s="4086"/>
      <c r="C153" s="4086"/>
      <c r="D153" s="4086"/>
      <c r="E153" s="4086"/>
      <c r="F153" s="4086"/>
      <c r="G153" s="4086"/>
      <c r="H153" s="4086"/>
      <c r="I153" s="4086"/>
      <c r="J153" s="4086"/>
      <c r="K153" s="4086"/>
      <c r="L153" s="4086"/>
      <c r="M153" s="4086"/>
      <c r="N153" s="4086"/>
      <c r="O153" s="4086"/>
      <c r="P153" s="4086"/>
      <c r="Q153" s="4091"/>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1516</v>
      </c>
      <c r="B156" s="1395" t="s">
        <v>1517</v>
      </c>
      <c r="C156" s="1395"/>
      <c r="D156" s="1395"/>
      <c r="E156" s="1395"/>
      <c r="F156" s="1395"/>
      <c r="G156" s="1395"/>
      <c r="H156" s="2545"/>
      <c r="I156" s="2545"/>
      <c r="J156" s="2545"/>
      <c r="K156" s="2545"/>
      <c r="L156" s="1428"/>
      <c r="M156" s="1429"/>
      <c r="O156" s="1398" t="s">
        <v>1450</v>
      </c>
      <c r="P156" s="4088"/>
      <c r="Q156" s="4089"/>
      <c r="AA156" s="1787">
        <v>146</v>
      </c>
    </row>
    <row r="157" spans="1:27" ht="15" customHeight="1">
      <c r="A157" s="1399"/>
      <c r="B157" s="1396" t="s">
        <v>1454</v>
      </c>
      <c r="C157" s="1399"/>
      <c r="D157" s="1399"/>
      <c r="E157" s="1399"/>
      <c r="F157" s="1399"/>
      <c r="G157" s="1399"/>
      <c r="H157" s="1399"/>
      <c r="I157" s="1399"/>
      <c r="J157" s="1399"/>
      <c r="K157" s="1399"/>
      <c r="L157" s="1399"/>
      <c r="M157" s="1399"/>
      <c r="N157" s="1397"/>
      <c r="O157" s="1399"/>
      <c r="P157" s="4119"/>
      <c r="Q157" s="4147"/>
      <c r="AA157" s="1787">
        <v>147</v>
      </c>
    </row>
    <row r="158" spans="1:27" ht="15" customHeight="1">
      <c r="A158" s="1405"/>
      <c r="B158" s="1396" t="s">
        <v>1518</v>
      </c>
      <c r="G158" s="1399"/>
      <c r="M158" s="4047" t="s">
        <v>720</v>
      </c>
      <c r="N158" s="4048"/>
      <c r="O158" s="4048"/>
      <c r="P158" s="4049"/>
      <c r="Q158" s="4050"/>
      <c r="R158" s="1411"/>
      <c r="AA158" s="1787">
        <v>148</v>
      </c>
    </row>
    <row r="159" spans="1:27" ht="15" customHeight="1">
      <c r="A159" s="1405"/>
      <c r="B159" s="1396" t="s">
        <v>1519</v>
      </c>
      <c r="G159" s="1399"/>
      <c r="M159" s="4044"/>
      <c r="N159" s="4045"/>
      <c r="O159" s="4045"/>
      <c r="P159" s="4045"/>
      <c r="Q159" s="4046"/>
      <c r="R159" s="1411"/>
      <c r="AA159" s="1787">
        <v>149</v>
      </c>
    </row>
    <row r="160" spans="1:27" ht="15.75" customHeight="1">
      <c r="B160" s="1410" t="s">
        <v>1456</v>
      </c>
      <c r="D160" s="1410"/>
      <c r="E160" s="1410"/>
      <c r="F160" s="1410"/>
      <c r="G160" s="1410"/>
      <c r="H160" s="2549"/>
      <c r="I160" s="1397"/>
      <c r="J160" s="1397"/>
      <c r="K160" s="1397"/>
      <c r="L160" s="1394"/>
      <c r="M160" s="1394"/>
      <c r="N160" s="1394"/>
      <c r="O160" s="1394"/>
      <c r="P160" s="1394"/>
      <c r="Q160" s="1394"/>
      <c r="AA160" s="1787">
        <v>150</v>
      </c>
    </row>
    <row r="161" spans="1:27" ht="45" customHeight="1">
      <c r="A161" s="4062" t="s">
        <v>7390</v>
      </c>
      <c r="B161" s="4062"/>
      <c r="C161" s="4062"/>
      <c r="D161" s="4062"/>
      <c r="E161" s="4062"/>
      <c r="F161" s="4062"/>
      <c r="G161" s="4062"/>
      <c r="H161" s="4062"/>
      <c r="I161" s="4062"/>
      <c r="J161" s="4062"/>
      <c r="K161" s="4062"/>
      <c r="L161" s="4062"/>
      <c r="M161" s="4062"/>
      <c r="N161" s="4062"/>
      <c r="O161" s="4062"/>
      <c r="P161" s="4062"/>
      <c r="Q161" s="4090"/>
      <c r="AA161" s="1787">
        <v>151</v>
      </c>
    </row>
    <row r="162" spans="1:27" ht="15.75" customHeight="1">
      <c r="B162" s="1400" t="s">
        <v>1452</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4086"/>
      <c r="B163" s="4086"/>
      <c r="C163" s="4086"/>
      <c r="D163" s="4086"/>
      <c r="E163" s="4086"/>
      <c r="F163" s="4086"/>
      <c r="G163" s="4086"/>
      <c r="H163" s="4086"/>
      <c r="I163" s="4086"/>
      <c r="J163" s="4086"/>
      <c r="K163" s="4086"/>
      <c r="L163" s="4086"/>
      <c r="M163" s="4086"/>
      <c r="N163" s="4086"/>
      <c r="O163" s="4086"/>
      <c r="P163" s="4086"/>
      <c r="Q163" s="4091"/>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1520</v>
      </c>
      <c r="B166" s="1395" t="s">
        <v>1521</v>
      </c>
      <c r="C166" s="1395"/>
      <c r="D166" s="1395"/>
      <c r="E166" s="1395"/>
      <c r="F166" s="1395"/>
      <c r="G166" s="1395"/>
      <c r="H166" s="2545"/>
      <c r="I166" s="2545"/>
      <c r="J166" s="2545"/>
      <c r="K166" s="2545"/>
      <c r="L166" s="2545"/>
      <c r="M166" s="2545"/>
      <c r="O166" s="1398" t="s">
        <v>1450</v>
      </c>
      <c r="P166" s="4051"/>
      <c r="Q166" s="4079"/>
      <c r="AA166" s="1787">
        <v>156</v>
      </c>
    </row>
    <row r="167" spans="1:27" ht="15.75" customHeight="1">
      <c r="B167" s="1410" t="s">
        <v>1456</v>
      </c>
      <c r="D167" s="1410"/>
      <c r="E167" s="1410"/>
      <c r="F167" s="1410"/>
      <c r="G167" s="1410"/>
      <c r="H167" s="2549"/>
      <c r="I167" s="1397"/>
      <c r="J167" s="1397"/>
      <c r="K167" s="1397"/>
      <c r="L167" s="1394"/>
      <c r="M167" s="1394"/>
      <c r="N167" s="1394"/>
      <c r="O167" s="1394"/>
      <c r="P167" s="1394"/>
      <c r="Q167" s="1394"/>
      <c r="AA167" s="1787">
        <v>157</v>
      </c>
    </row>
    <row r="168" spans="1:27" ht="30" customHeight="1">
      <c r="A168" s="4062" t="s">
        <v>7726</v>
      </c>
      <c r="B168" s="4062"/>
      <c r="C168" s="4062"/>
      <c r="D168" s="4062"/>
      <c r="E168" s="4062"/>
      <c r="F168" s="4062"/>
      <c r="G168" s="4062"/>
      <c r="H168" s="4062"/>
      <c r="I168" s="4062"/>
      <c r="J168" s="4062"/>
      <c r="K168" s="4062"/>
      <c r="L168" s="4062"/>
      <c r="M168" s="4062"/>
      <c r="N168" s="4062"/>
      <c r="O168" s="4062"/>
      <c r="P168" s="4062"/>
      <c r="Q168" s="4090"/>
      <c r="AA168" s="1787">
        <v>158</v>
      </c>
    </row>
    <row r="169" spans="1:27" ht="15.75" customHeight="1">
      <c r="B169" s="1400" t="s">
        <v>1452</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4086"/>
      <c r="B170" s="4086"/>
      <c r="C170" s="4086"/>
      <c r="D170" s="4086"/>
      <c r="E170" s="4086"/>
      <c r="F170" s="4086"/>
      <c r="G170" s="4086"/>
      <c r="H170" s="4086"/>
      <c r="I170" s="4086"/>
      <c r="J170" s="4086"/>
      <c r="K170" s="4086"/>
      <c r="L170" s="4086"/>
      <c r="M170" s="4086"/>
      <c r="N170" s="4086"/>
      <c r="O170" s="4086"/>
      <c r="P170" s="4086"/>
      <c r="Q170" s="4091"/>
      <c r="AA170" s="1787">
        <v>160</v>
      </c>
    </row>
    <row r="171" spans="1:27" ht="11.25" customHeight="1">
      <c r="AA171" s="1787">
        <v>161</v>
      </c>
    </row>
    <row r="172" spans="1:27" ht="11.25" customHeight="1">
      <c r="A172" s="1399"/>
      <c r="AA172" s="1788">
        <v>162</v>
      </c>
    </row>
    <row r="173" spans="1:27" ht="17.100000000000001" customHeight="1">
      <c r="A173" s="2550" t="s">
        <v>1522</v>
      </c>
      <c r="B173" s="2550" t="s">
        <v>1523</v>
      </c>
      <c r="C173" s="2550"/>
      <c r="D173" s="2545"/>
      <c r="E173" s="2545"/>
      <c r="F173" s="2545"/>
      <c r="G173" s="2545"/>
      <c r="H173" s="2545"/>
      <c r="I173" s="2545"/>
      <c r="J173" s="2545"/>
      <c r="K173" s="2545"/>
      <c r="L173" s="2545"/>
      <c r="M173" s="2545"/>
      <c r="O173" s="1398" t="s">
        <v>1450</v>
      </c>
      <c r="P173" s="4051"/>
      <c r="Q173" s="4079"/>
      <c r="AA173" s="1787">
        <v>163</v>
      </c>
    </row>
    <row r="174" spans="1:27" ht="15" customHeight="1">
      <c r="A174" s="1405" t="s">
        <v>185</v>
      </c>
      <c r="B174" s="1395" t="s">
        <v>1524</v>
      </c>
      <c r="G174" s="1399"/>
      <c r="J174" s="1399"/>
      <c r="K174" s="1399"/>
      <c r="L174" s="1399"/>
      <c r="M174" s="1399"/>
      <c r="N174" s="1399"/>
      <c r="O174" s="2552"/>
      <c r="P174" s="1399"/>
      <c r="Q174" s="1399"/>
      <c r="AA174" s="1787">
        <v>164</v>
      </c>
    </row>
    <row r="175" spans="1:27" ht="29.45" customHeight="1">
      <c r="B175" s="4160" t="s">
        <v>1525</v>
      </c>
      <c r="C175" s="4160"/>
      <c r="D175" s="4160"/>
      <c r="E175" s="4160"/>
      <c r="F175" s="4160"/>
      <c r="G175" s="4160"/>
      <c r="H175" s="4160"/>
      <c r="I175" s="4160"/>
      <c r="J175" s="4160"/>
      <c r="K175" s="4160"/>
      <c r="L175" s="4160"/>
      <c r="M175" s="4160"/>
      <c r="N175" s="4160"/>
      <c r="O175" s="4161"/>
      <c r="P175" s="4162" t="s">
        <v>7680</v>
      </c>
      <c r="Q175" s="4163"/>
      <c r="AA175" s="1787">
        <v>165</v>
      </c>
    </row>
    <row r="176" spans="1:27" ht="17.100000000000001" customHeight="1">
      <c r="A176" s="1405" t="s">
        <v>197</v>
      </c>
      <c r="B176" s="1395" t="s">
        <v>1526</v>
      </c>
      <c r="G176" s="1399"/>
      <c r="L176" s="4165" t="s">
        <v>1709</v>
      </c>
      <c r="M176" s="4166"/>
      <c r="N176" s="4166"/>
      <c r="O176" s="4166"/>
      <c r="P176" s="4166"/>
      <c r="Q176" s="4167"/>
      <c r="AA176" s="1787">
        <v>166</v>
      </c>
    </row>
    <row r="177" spans="1:27" ht="15.75" customHeight="1">
      <c r="B177" s="1410" t="s">
        <v>1456</v>
      </c>
      <c r="M177" s="1397"/>
      <c r="N177" s="1397"/>
      <c r="O177" s="1430"/>
      <c r="P177" s="1394"/>
      <c r="AA177" s="1787">
        <v>167</v>
      </c>
    </row>
    <row r="178" spans="1:27" ht="32.450000000000003" customHeight="1">
      <c r="A178" s="4062" t="s">
        <v>7692</v>
      </c>
      <c r="B178" s="4062"/>
      <c r="C178" s="4062"/>
      <c r="D178" s="4062"/>
      <c r="E178" s="4062"/>
      <c r="F178" s="4062"/>
      <c r="G178" s="4062"/>
      <c r="H178" s="4062"/>
      <c r="I178" s="4062"/>
      <c r="J178" s="4062"/>
      <c r="K178" s="4062"/>
      <c r="L178" s="4062"/>
      <c r="M178" s="4062"/>
      <c r="N178" s="4062"/>
      <c r="O178" s="4062"/>
      <c r="P178" s="4062"/>
      <c r="Q178" s="4090"/>
      <c r="AA178" s="1787">
        <v>168</v>
      </c>
    </row>
    <row r="179" spans="1:27" ht="15.75" customHeight="1">
      <c r="B179" s="1400" t="s">
        <v>1452</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4086"/>
      <c r="B180" s="4086"/>
      <c r="C180" s="4086"/>
      <c r="D180" s="4086"/>
      <c r="E180" s="4086"/>
      <c r="F180" s="4086"/>
      <c r="G180" s="4086"/>
      <c r="H180" s="4086"/>
      <c r="I180" s="4086"/>
      <c r="J180" s="4086"/>
      <c r="K180" s="4086"/>
      <c r="L180" s="4086"/>
      <c r="M180" s="4086"/>
      <c r="N180" s="4086"/>
      <c r="O180" s="4086"/>
      <c r="P180" s="4086"/>
      <c r="Q180" s="4087"/>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00000000000001" customHeight="1">
      <c r="A183" s="2550" t="s">
        <v>1528</v>
      </c>
      <c r="B183" s="2550" t="s">
        <v>1529</v>
      </c>
      <c r="C183" s="1431"/>
      <c r="D183" s="1431"/>
      <c r="E183" s="2545"/>
      <c r="F183" s="2545"/>
      <c r="G183" s="2545"/>
      <c r="H183" s="2545"/>
      <c r="I183" s="2545"/>
      <c r="J183" s="2545"/>
      <c r="K183" s="2545"/>
      <c r="L183" s="2545"/>
      <c r="M183" s="2545"/>
      <c r="O183" s="1398" t="s">
        <v>1450</v>
      </c>
      <c r="P183" s="4088"/>
      <c r="Q183" s="4164"/>
      <c r="AA183" s="1787">
        <v>173</v>
      </c>
    </row>
    <row r="184" spans="1:27" ht="15" customHeight="1">
      <c r="A184" s="1399"/>
      <c r="B184" s="1396" t="s">
        <v>1454</v>
      </c>
      <c r="C184" s="1399"/>
      <c r="D184" s="1399"/>
      <c r="E184" s="1399"/>
      <c r="F184" s="1399"/>
      <c r="G184" s="1399"/>
      <c r="H184" s="1399"/>
      <c r="I184" s="1399"/>
      <c r="J184" s="1399"/>
      <c r="K184" s="1399"/>
      <c r="L184" s="1399"/>
      <c r="M184" s="1399"/>
      <c r="N184" s="1397"/>
      <c r="O184" s="1399"/>
      <c r="P184" s="4119" t="s">
        <v>7474</v>
      </c>
      <c r="Q184" s="4120"/>
      <c r="AA184" s="1787">
        <v>174</v>
      </c>
    </row>
    <row r="185" spans="1:27" ht="30.6" customHeight="1">
      <c r="A185" s="1399"/>
      <c r="B185" s="4072" t="s">
        <v>1530</v>
      </c>
      <c r="C185" s="4072"/>
      <c r="D185" s="4072"/>
      <c r="E185" s="4072"/>
      <c r="F185" s="4072"/>
      <c r="G185" s="4072"/>
      <c r="H185" s="4072"/>
      <c r="I185" s="4072"/>
      <c r="J185" s="4072"/>
      <c r="K185" s="4072"/>
      <c r="L185" s="4072"/>
      <c r="M185" s="4072"/>
      <c r="N185" s="4072"/>
      <c r="O185" s="4072"/>
      <c r="P185" s="4121" t="s">
        <v>7680</v>
      </c>
      <c r="Q185" s="4122"/>
      <c r="AA185" s="1787">
        <v>175</v>
      </c>
    </row>
    <row r="186" spans="1:27" ht="15">
      <c r="A186" s="1405" t="s">
        <v>185</v>
      </c>
      <c r="B186" s="2550" t="s">
        <v>1531</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4175" t="s">
        <v>1532</v>
      </c>
      <c r="C187" s="4176"/>
      <c r="D187" s="4176"/>
      <c r="E187" s="4176"/>
      <c r="F187" s="4176"/>
      <c r="G187" s="4176"/>
      <c r="H187" s="4176"/>
      <c r="I187" s="4176"/>
      <c r="J187" s="4176"/>
      <c r="K187" s="4176"/>
      <c r="L187" s="4176"/>
      <c r="M187" s="4176"/>
      <c r="N187" s="4176"/>
      <c r="O187" s="4176"/>
      <c r="P187" s="2552"/>
      <c r="Q187" s="2552"/>
      <c r="AA187" s="1788">
        <v>177</v>
      </c>
    </row>
    <row r="188" spans="1:27" ht="28.5" customHeight="1">
      <c r="A188" s="1399"/>
      <c r="B188" s="1399"/>
      <c r="C188" s="1421"/>
      <c r="D188" s="4160" t="s">
        <v>1533</v>
      </c>
      <c r="E188" s="4160"/>
      <c r="F188" s="4160"/>
      <c r="G188" s="4160"/>
      <c r="H188" s="4160"/>
      <c r="I188" s="4160"/>
      <c r="J188" s="4160"/>
      <c r="K188" s="4160"/>
      <c r="L188" s="4160"/>
      <c r="M188" s="4160"/>
      <c r="N188" s="4160"/>
      <c r="O188" s="4160"/>
      <c r="P188" s="4178">
        <f>'Part VIII Scoring Criteria'!AA86</f>
        <v>6</v>
      </c>
      <c r="Q188" s="4179"/>
      <c r="AA188" s="1787">
        <v>178</v>
      </c>
    </row>
    <row r="189" spans="1:27" ht="12" customHeight="1">
      <c r="A189" s="1399"/>
      <c r="C189" s="1399"/>
      <c r="D189" s="1399"/>
      <c r="E189" s="1399"/>
      <c r="F189" s="1399"/>
      <c r="G189" s="1399"/>
      <c r="H189" s="1399"/>
      <c r="I189" s="1399"/>
      <c r="J189" s="1399"/>
      <c r="K189" s="1399"/>
      <c r="L189" s="4177" t="s">
        <v>1534</v>
      </c>
      <c r="M189" s="4177"/>
      <c r="N189" s="1397"/>
      <c r="O189" s="1399"/>
      <c r="P189" s="1427"/>
      <c r="Q189" s="1394"/>
      <c r="AA189" s="1787">
        <v>179</v>
      </c>
    </row>
    <row r="190" spans="1:27" ht="17.100000000000001" customHeight="1">
      <c r="A190" s="1405" t="s">
        <v>197</v>
      </c>
      <c r="B190" s="2550" t="s">
        <v>1535</v>
      </c>
      <c r="D190" s="1432"/>
      <c r="E190" s="1432"/>
      <c r="F190" s="1432"/>
      <c r="G190" s="1432"/>
      <c r="H190" s="1432"/>
      <c r="I190" s="1432"/>
      <c r="J190" s="1432"/>
      <c r="K190" s="1432"/>
      <c r="L190" s="1396" t="s">
        <v>1536</v>
      </c>
      <c r="M190" s="1397" t="s">
        <v>1537</v>
      </c>
      <c r="N190" s="1432"/>
      <c r="O190" s="2552"/>
      <c r="P190" s="4180" t="s">
        <v>1538</v>
      </c>
      <c r="Q190" s="4180"/>
      <c r="AA190" s="1787">
        <v>180</v>
      </c>
    </row>
    <row r="191" spans="1:27" ht="15" customHeight="1">
      <c r="A191" s="1405"/>
      <c r="B191" s="1396" t="s">
        <v>1539</v>
      </c>
      <c r="C191" s="1399"/>
      <c r="D191" s="2548"/>
      <c r="E191" s="2548"/>
      <c r="F191" s="2548"/>
      <c r="G191" s="2548"/>
      <c r="H191" s="1399"/>
      <c r="K191" s="1433"/>
      <c r="L191" s="2770">
        <f>ROUNDUP('Part V-Revenues &amp; Expenses'!$P$76*M191,0)</f>
        <v>3</v>
      </c>
      <c r="M191" s="1434">
        <f>'DCA Underwriting Assumptions'!$Q$148</f>
        <v>0.05</v>
      </c>
      <c r="N191" s="1502" t="s">
        <v>1540</v>
      </c>
      <c r="O191" s="2552"/>
      <c r="P191" s="4119">
        <v>3</v>
      </c>
      <c r="Q191" s="4120"/>
      <c r="R191" s="1774" t="str">
        <f>IF(P191&lt;L191,"Check Actual against Minimum!","")</f>
        <v/>
      </c>
      <c r="AA191" s="1787">
        <v>181</v>
      </c>
    </row>
    <row r="192" spans="1:27" ht="15" customHeight="1">
      <c r="A192" s="1405"/>
      <c r="B192" s="2549"/>
      <c r="D192" s="4072" t="s">
        <v>1541</v>
      </c>
      <c r="E192" s="4072"/>
      <c r="F192" s="4072"/>
      <c r="G192" s="4072"/>
      <c r="H192" s="4072"/>
      <c r="I192" s="4072"/>
      <c r="J192" s="4072"/>
      <c r="K192" s="1433"/>
      <c r="L192" s="1435">
        <f>ROUNDUP(L191*M192,0)</f>
        <v>2</v>
      </c>
      <c r="M192" s="1434">
        <f>'DCA Underwriting Assumptions'!$Q$149</f>
        <v>0.4</v>
      </c>
      <c r="N192" s="1502" t="s">
        <v>1542</v>
      </c>
      <c r="O192" s="2552"/>
      <c r="P192" s="4168">
        <v>2</v>
      </c>
      <c r="Q192" s="4169"/>
      <c r="R192" s="1774" t="str">
        <f t="shared" ref="R192:R193" si="0">IF(P192&lt;L192,"Check Actual against Minimum!","")</f>
        <v/>
      </c>
      <c r="AA192" s="1787">
        <v>182</v>
      </c>
    </row>
    <row r="193" spans="1:27" ht="15" customHeight="1">
      <c r="A193" s="1405"/>
      <c r="B193" s="4072" t="s">
        <v>1543</v>
      </c>
      <c r="C193" s="4072"/>
      <c r="D193" s="4072"/>
      <c r="E193" s="4072"/>
      <c r="F193" s="4072"/>
      <c r="G193" s="4072"/>
      <c r="H193" s="4072"/>
      <c r="I193" s="4072"/>
      <c r="J193" s="4072"/>
      <c r="K193" s="1399"/>
      <c r="L193" s="2771">
        <f>ROUNDUP('Part V-Revenues &amp; Expenses'!$P$76*M193,0)</f>
        <v>2</v>
      </c>
      <c r="M193" s="1434">
        <f>'DCA Underwriting Assumptions'!$Q$150</f>
        <v>0.02</v>
      </c>
      <c r="N193" s="1502" t="s">
        <v>1540</v>
      </c>
      <c r="O193" s="2552"/>
      <c r="P193" s="4170">
        <v>2</v>
      </c>
      <c r="Q193" s="4171"/>
      <c r="R193" s="1774" t="str">
        <f t="shared" si="0"/>
        <v/>
      </c>
      <c r="AA193" s="1787">
        <v>183</v>
      </c>
    </row>
    <row r="194" spans="1:27" ht="15" customHeight="1">
      <c r="A194" s="1405" t="s">
        <v>218</v>
      </c>
      <c r="B194" s="2550" t="s">
        <v>1544</v>
      </c>
      <c r="C194" s="2545"/>
      <c r="D194" s="2545"/>
      <c r="E194" s="2545"/>
      <c r="F194" s="2545"/>
      <c r="G194" s="2545"/>
      <c r="H194" s="2545"/>
      <c r="I194" s="2545"/>
      <c r="J194" s="2545"/>
      <c r="K194" s="1399"/>
      <c r="L194" s="1503"/>
      <c r="M194" s="1434"/>
      <c r="N194" s="1502"/>
      <c r="O194" s="2552"/>
      <c r="P194" s="2552"/>
      <c r="Q194" s="2552"/>
      <c r="AA194" s="1787">
        <v>184</v>
      </c>
    </row>
    <row r="195" spans="1:27" ht="15.6" customHeight="1">
      <c r="A195" s="1405"/>
      <c r="B195" s="1396" t="s">
        <v>1545</v>
      </c>
      <c r="G195" s="1399"/>
      <c r="M195" s="4172" t="s">
        <v>7693</v>
      </c>
      <c r="N195" s="4173"/>
      <c r="O195" s="4173"/>
      <c r="P195" s="4173"/>
      <c r="Q195" s="4174"/>
      <c r="AA195" s="1787">
        <v>185</v>
      </c>
    </row>
    <row r="196" spans="1:27" ht="15.6" customHeight="1">
      <c r="A196" s="1405"/>
      <c r="C196" s="1399"/>
      <c r="D196" s="1396" t="s">
        <v>1546</v>
      </c>
      <c r="O196" s="2552"/>
      <c r="P196" s="2768" t="s">
        <v>7474</v>
      </c>
      <c r="Q196" s="2769"/>
      <c r="R196" s="2552"/>
      <c r="AA196" s="1788">
        <v>186</v>
      </c>
    </row>
    <row r="197" spans="1:27" ht="15.6" customHeight="1">
      <c r="A197" s="1405"/>
      <c r="C197" s="1399"/>
      <c r="D197" s="1396" t="s">
        <v>1547</v>
      </c>
      <c r="O197" s="2552"/>
      <c r="P197" s="1414" t="s">
        <v>7474</v>
      </c>
      <c r="Q197" s="1415"/>
      <c r="R197" s="2552"/>
      <c r="AA197" s="1787">
        <v>187</v>
      </c>
    </row>
    <row r="198" spans="1:27" ht="15.75" customHeight="1">
      <c r="B198" s="1410" t="s">
        <v>1456</v>
      </c>
      <c r="D198" s="1410"/>
      <c r="E198" s="1410"/>
      <c r="F198" s="1410"/>
      <c r="G198" s="1410"/>
      <c r="H198" s="2549"/>
      <c r="I198" s="1397"/>
      <c r="J198" s="1397"/>
      <c r="K198" s="1397"/>
      <c r="L198" s="1394"/>
      <c r="M198" s="1394"/>
      <c r="N198" s="1394"/>
      <c r="O198" s="1394"/>
      <c r="P198" s="1394"/>
      <c r="Q198" s="1394"/>
      <c r="AA198" s="1787">
        <v>188</v>
      </c>
    </row>
    <row r="199" spans="1:27" ht="17.100000000000001" customHeight="1">
      <c r="A199" s="4062" t="s">
        <v>7727</v>
      </c>
      <c r="B199" s="4062"/>
      <c r="C199" s="4062"/>
      <c r="D199" s="4062"/>
      <c r="E199" s="4062"/>
      <c r="F199" s="4062"/>
      <c r="G199" s="4062"/>
      <c r="H199" s="4062"/>
      <c r="I199" s="4062"/>
      <c r="J199" s="4062"/>
      <c r="K199" s="4062"/>
      <c r="L199" s="4062"/>
      <c r="M199" s="4062"/>
      <c r="N199" s="4062"/>
      <c r="O199" s="4062"/>
      <c r="P199" s="4062"/>
      <c r="Q199" s="4085"/>
      <c r="AA199" s="1787">
        <v>189</v>
      </c>
    </row>
    <row r="200" spans="1:27" ht="15.75" customHeight="1">
      <c r="B200" s="1400" t="s">
        <v>1452</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4086"/>
      <c r="B201" s="4086"/>
      <c r="C201" s="4086"/>
      <c r="D201" s="4086"/>
      <c r="E201" s="4086"/>
      <c r="F201" s="4086"/>
      <c r="G201" s="4086"/>
      <c r="H201" s="4086"/>
      <c r="I201" s="4086"/>
      <c r="J201" s="4086"/>
      <c r="K201" s="4086"/>
      <c r="L201" s="4086"/>
      <c r="M201" s="4086"/>
      <c r="N201" s="4086"/>
      <c r="O201" s="4086"/>
      <c r="P201" s="4086"/>
      <c r="Q201" s="4087"/>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1548</v>
      </c>
      <c r="B204" s="1395" t="s">
        <v>1549</v>
      </c>
      <c r="C204" s="1395"/>
      <c r="D204" s="1395"/>
      <c r="E204" s="1395"/>
      <c r="F204" s="1395"/>
      <c r="G204" s="1395"/>
      <c r="H204" s="2545"/>
      <c r="I204" s="2545"/>
      <c r="J204" s="2545"/>
      <c r="K204" s="2545"/>
      <c r="L204" s="2545"/>
      <c r="M204" s="2545"/>
      <c r="O204" s="1398" t="s">
        <v>1450</v>
      </c>
      <c r="P204" s="4051"/>
      <c r="Q204" s="4116"/>
      <c r="AA204" s="1787">
        <v>194</v>
      </c>
    </row>
    <row r="205" spans="1:27" ht="15" customHeight="1">
      <c r="B205" s="1396" t="s">
        <v>1454</v>
      </c>
      <c r="P205" s="4119" t="s">
        <v>7474</v>
      </c>
      <c r="Q205" s="4120"/>
      <c r="AA205" s="1787">
        <v>195</v>
      </c>
    </row>
    <row r="206" spans="1:27" ht="28.5" customHeight="1">
      <c r="B206" s="4072" t="s">
        <v>1550</v>
      </c>
      <c r="C206" s="4072"/>
      <c r="D206" s="4072"/>
      <c r="E206" s="4072"/>
      <c r="F206" s="4072"/>
      <c r="G206" s="4072"/>
      <c r="H206" s="4072"/>
      <c r="I206" s="4072"/>
      <c r="J206" s="4072"/>
      <c r="K206" s="4072"/>
      <c r="L206" s="4072"/>
      <c r="M206" s="4072"/>
      <c r="N206" s="4072"/>
      <c r="P206" s="4170" t="s">
        <v>7444</v>
      </c>
      <c r="Q206" s="4171"/>
      <c r="AA206" s="1787">
        <v>196</v>
      </c>
    </row>
    <row r="207" spans="1:27" ht="20.25" customHeight="1">
      <c r="A207" s="1405" t="s">
        <v>185</v>
      </c>
      <c r="B207" s="1395" t="s">
        <v>1551</v>
      </c>
      <c r="D207" s="1395"/>
      <c r="E207" s="1395"/>
      <c r="F207" s="1395"/>
      <c r="G207" s="1395"/>
      <c r="H207" s="1395"/>
      <c r="I207" s="1395"/>
      <c r="J207" s="1395"/>
      <c r="K207" s="1395"/>
      <c r="L207" s="1395"/>
      <c r="M207" s="1395"/>
      <c r="O207" s="2552"/>
      <c r="P207" s="1394"/>
      <c r="Q207" s="1394"/>
      <c r="AA207" s="1787">
        <v>197</v>
      </c>
    </row>
    <row r="208" spans="1:27" ht="59.25" customHeight="1">
      <c r="B208" s="1422" t="s">
        <v>1510</v>
      </c>
      <c r="C208" s="4160" t="s">
        <v>1552</v>
      </c>
      <c r="D208" s="4160"/>
      <c r="E208" s="4160"/>
      <c r="F208" s="4141" t="s">
        <v>1679</v>
      </c>
      <c r="G208" s="4142"/>
      <c r="H208" s="4142"/>
      <c r="I208" s="4142"/>
      <c r="J208" s="4142"/>
      <c r="K208" s="4142"/>
      <c r="L208" s="4142"/>
      <c r="M208" s="4142"/>
      <c r="N208" s="4142"/>
      <c r="O208" s="4142"/>
      <c r="P208" s="4142"/>
      <c r="Q208" s="4143"/>
      <c r="AA208" s="1787">
        <v>198</v>
      </c>
    </row>
    <row r="209" spans="1:27" ht="60" customHeight="1">
      <c r="B209" s="1422" t="s">
        <v>1513</v>
      </c>
      <c r="C209" s="4160" t="s">
        <v>1554</v>
      </c>
      <c r="D209" s="4160"/>
      <c r="E209" s="4160"/>
      <c r="F209" s="4183" t="s">
        <v>1672</v>
      </c>
      <c r="G209" s="4183"/>
      <c r="H209" s="4183"/>
      <c r="I209" s="4183"/>
      <c r="J209" s="4183"/>
      <c r="K209" s="4183"/>
      <c r="L209" s="4183"/>
      <c r="M209" s="4183"/>
      <c r="N209" s="4183"/>
      <c r="O209" s="4183"/>
      <c r="P209" s="4183"/>
      <c r="Q209" s="4183"/>
      <c r="AA209" s="1787">
        <v>199</v>
      </c>
    </row>
    <row r="210" spans="1:27" ht="20.25" customHeight="1">
      <c r="A210" s="1405"/>
      <c r="B210" s="1422" t="s">
        <v>1514</v>
      </c>
      <c r="C210" s="4072" t="s">
        <v>1556</v>
      </c>
      <c r="D210" s="4072"/>
      <c r="E210" s="4072"/>
      <c r="F210" s="4072"/>
      <c r="G210" s="4072"/>
      <c r="H210" s="4072"/>
      <c r="I210" s="4072"/>
      <c r="J210" s="4072"/>
      <c r="K210" s="4072"/>
      <c r="L210" s="4072"/>
      <c r="M210" s="4072"/>
      <c r="N210" s="4072"/>
      <c r="O210" s="4072"/>
      <c r="P210" s="4072"/>
      <c r="Q210" s="4072"/>
      <c r="AA210" s="1787">
        <v>200</v>
      </c>
    </row>
    <row r="211" spans="1:27" ht="15.6" customHeight="1">
      <c r="A211" s="1405"/>
      <c r="B211" s="2552"/>
      <c r="C211" s="4047"/>
      <c r="D211" s="4047"/>
      <c r="E211" s="4047"/>
      <c r="F211" s="4047"/>
      <c r="G211" s="4047"/>
      <c r="H211" s="4047"/>
      <c r="I211" s="4047"/>
      <c r="J211" s="4047"/>
      <c r="K211" s="4047"/>
      <c r="L211" s="4047"/>
      <c r="M211" s="4047"/>
      <c r="N211" s="4047"/>
      <c r="O211" s="4047"/>
      <c r="P211" s="4047"/>
      <c r="Q211" s="4181"/>
      <c r="AA211" s="1788">
        <v>201</v>
      </c>
    </row>
    <row r="212" spans="1:27" ht="15.6" customHeight="1">
      <c r="A212" s="1405"/>
      <c r="B212" s="2552"/>
      <c r="C212" s="4044"/>
      <c r="D212" s="4044"/>
      <c r="E212" s="4044"/>
      <c r="F212" s="4044"/>
      <c r="G212" s="4044"/>
      <c r="H212" s="4044"/>
      <c r="I212" s="4044"/>
      <c r="J212" s="4044"/>
      <c r="K212" s="4044"/>
      <c r="L212" s="4044"/>
      <c r="M212" s="4044"/>
      <c r="N212" s="4044"/>
      <c r="O212" s="4044"/>
      <c r="P212" s="4044"/>
      <c r="Q212" s="4182"/>
      <c r="AA212" s="1787">
        <v>202</v>
      </c>
    </row>
    <row r="213" spans="1:27" ht="15.75" customHeight="1">
      <c r="B213" s="1410" t="s">
        <v>1456</v>
      </c>
      <c r="D213" s="1410"/>
      <c r="E213" s="1410"/>
      <c r="F213" s="1410"/>
      <c r="G213" s="1410"/>
      <c r="H213" s="2549"/>
      <c r="I213" s="1397"/>
      <c r="J213" s="1397"/>
      <c r="K213" s="1397"/>
      <c r="L213" s="1394"/>
      <c r="M213" s="1394"/>
      <c r="N213" s="1394"/>
      <c r="O213" s="1394"/>
      <c r="P213" s="1394"/>
      <c r="Q213" s="1394"/>
      <c r="AA213" s="1787">
        <v>203</v>
      </c>
    </row>
    <row r="214" spans="1:27" ht="15" customHeight="1">
      <c r="A214" s="4062" t="s">
        <v>7714</v>
      </c>
      <c r="B214" s="4062"/>
      <c r="C214" s="4062"/>
      <c r="D214" s="4062"/>
      <c r="E214" s="4062"/>
      <c r="F214" s="4062"/>
      <c r="G214" s="4062"/>
      <c r="H214" s="4062"/>
      <c r="I214" s="4062"/>
      <c r="J214" s="4062"/>
      <c r="K214" s="4062"/>
      <c r="L214" s="4062"/>
      <c r="M214" s="4062"/>
      <c r="N214" s="4062"/>
      <c r="O214" s="4062"/>
      <c r="P214" s="4062"/>
      <c r="Q214" s="4085"/>
      <c r="AA214" s="1787">
        <v>204</v>
      </c>
    </row>
    <row r="215" spans="1:27" ht="15.75" customHeight="1">
      <c r="B215" s="1400" t="s">
        <v>1452</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4086"/>
      <c r="B216" s="4086"/>
      <c r="C216" s="4086"/>
      <c r="D216" s="4086"/>
      <c r="E216" s="4086"/>
      <c r="F216" s="4086"/>
      <c r="G216" s="4086"/>
      <c r="H216" s="4086"/>
      <c r="I216" s="4086"/>
      <c r="J216" s="4086"/>
      <c r="K216" s="4086"/>
      <c r="L216" s="4086"/>
      <c r="M216" s="4086"/>
      <c r="N216" s="4086"/>
      <c r="O216" s="4086"/>
      <c r="P216" s="4086"/>
      <c r="Q216" s="4087"/>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1557</v>
      </c>
      <c r="B219" s="2550" t="s">
        <v>1558</v>
      </c>
      <c r="C219" s="2550"/>
      <c r="D219" s="2545"/>
      <c r="E219" s="2545"/>
      <c r="F219" s="2545"/>
      <c r="G219" s="2545"/>
      <c r="H219" s="2545"/>
      <c r="N219" s="1416"/>
      <c r="O219" s="1398" t="s">
        <v>1450</v>
      </c>
      <c r="P219" s="4088"/>
      <c r="Q219" s="4164"/>
      <c r="AA219" s="1787">
        <v>209</v>
      </c>
    </row>
    <row r="220" spans="1:27" ht="15" customHeight="1">
      <c r="A220" s="1405"/>
      <c r="B220" s="1396" t="s">
        <v>1559</v>
      </c>
      <c r="O220" s="2552"/>
      <c r="P220" s="4119" t="s">
        <v>7694</v>
      </c>
      <c r="Q220" s="4120"/>
      <c r="AA220" s="1788">
        <v>210</v>
      </c>
    </row>
    <row r="221" spans="1:27" ht="15" customHeight="1">
      <c r="A221" s="1405"/>
      <c r="B221" s="1396" t="s">
        <v>1560</v>
      </c>
      <c r="O221" s="2552"/>
      <c r="P221" s="4168" t="s">
        <v>7694</v>
      </c>
      <c r="Q221" s="4169"/>
      <c r="AA221" s="1787">
        <v>211</v>
      </c>
    </row>
    <row r="222" spans="1:27" ht="15" customHeight="1">
      <c r="A222" s="1405"/>
      <c r="B222" s="1396" t="s">
        <v>1561</v>
      </c>
      <c r="C222" s="1399"/>
      <c r="K222" s="1397"/>
      <c r="M222" s="2552"/>
      <c r="O222" s="1436"/>
      <c r="P222" s="4168" t="s">
        <v>7474</v>
      </c>
      <c r="Q222" s="4169"/>
      <c r="AA222" s="1787">
        <v>212</v>
      </c>
    </row>
    <row r="223" spans="1:27" ht="29.45" customHeight="1">
      <c r="A223" s="1405"/>
      <c r="B223" s="4072" t="s">
        <v>1562</v>
      </c>
      <c r="C223" s="4072"/>
      <c r="D223" s="4072"/>
      <c r="E223" s="4072"/>
      <c r="F223" s="4072"/>
      <c r="G223" s="4072"/>
      <c r="H223" s="4072"/>
      <c r="I223" s="4072"/>
      <c r="J223" s="4072"/>
      <c r="K223" s="4072"/>
      <c r="L223" s="4072"/>
      <c r="M223" s="4072"/>
      <c r="N223" s="4072"/>
      <c r="O223" s="4072"/>
      <c r="P223" s="4185" t="s">
        <v>7474</v>
      </c>
      <c r="Q223" s="4186"/>
      <c r="AA223" s="1787">
        <v>213</v>
      </c>
    </row>
    <row r="224" spans="1:27" ht="15.6" customHeight="1">
      <c r="A224" s="1405"/>
      <c r="B224" s="1396" t="s">
        <v>1563</v>
      </c>
      <c r="M224" s="1399"/>
      <c r="N224" s="1399"/>
      <c r="O224" s="4124" t="s">
        <v>1650</v>
      </c>
      <c r="P224" s="4184"/>
      <c r="Q224" s="4125"/>
      <c r="AA224" s="1787">
        <v>214</v>
      </c>
    </row>
    <row r="225" spans="1:28" ht="15.6" customHeight="1">
      <c r="A225" s="1405"/>
      <c r="B225" s="1395" t="s">
        <v>1564</v>
      </c>
      <c r="I225" s="4051" t="s">
        <v>720</v>
      </c>
      <c r="J225" s="4052"/>
      <c r="K225" s="4052"/>
      <c r="L225" s="4053"/>
      <c r="M225" s="1399"/>
      <c r="N225" s="1399"/>
      <c r="O225" s="1399"/>
      <c r="P225" s="1399"/>
      <c r="Q225" s="1399"/>
      <c r="AA225" s="1787">
        <v>215</v>
      </c>
    </row>
    <row r="226" spans="1:28" ht="15.75" customHeight="1">
      <c r="B226" s="1410" t="s">
        <v>1456</v>
      </c>
      <c r="D226" s="1410"/>
      <c r="E226" s="1410"/>
      <c r="F226" s="1410"/>
      <c r="G226" s="1410"/>
      <c r="H226" s="2549"/>
      <c r="I226" s="1397"/>
      <c r="J226" s="1397"/>
      <c r="K226" s="1397"/>
      <c r="L226" s="1394"/>
      <c r="M226" s="1394"/>
      <c r="N226" s="1394"/>
      <c r="O226" s="1394"/>
      <c r="P226" s="1394"/>
      <c r="Q226" s="1394"/>
      <c r="AA226" s="1787">
        <v>216</v>
      </c>
    </row>
    <row r="227" spans="1:28" ht="30" customHeight="1">
      <c r="A227" s="4073" t="s">
        <v>7728</v>
      </c>
      <c r="B227" s="4074"/>
      <c r="C227" s="4074"/>
      <c r="D227" s="4074"/>
      <c r="E227" s="4074"/>
      <c r="F227" s="4074"/>
      <c r="G227" s="4074"/>
      <c r="H227" s="4074"/>
      <c r="I227" s="4074"/>
      <c r="J227" s="4074"/>
      <c r="K227" s="4074"/>
      <c r="L227" s="4074"/>
      <c r="M227" s="4074"/>
      <c r="N227" s="4074"/>
      <c r="O227" s="4074"/>
      <c r="P227" s="4074"/>
      <c r="Q227" s="4075"/>
      <c r="AA227" s="1787">
        <v>217</v>
      </c>
    </row>
    <row r="228" spans="1:28" ht="15.75" customHeight="1">
      <c r="B228" s="1400" t="s">
        <v>1452</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4076"/>
      <c r="B229" s="4077"/>
      <c r="C229" s="4077"/>
      <c r="D229" s="4077"/>
      <c r="E229" s="4077"/>
      <c r="F229" s="4077"/>
      <c r="G229" s="4077"/>
      <c r="H229" s="4077"/>
      <c r="I229" s="4077"/>
      <c r="J229" s="4077"/>
      <c r="K229" s="4077"/>
      <c r="L229" s="4077"/>
      <c r="M229" s="4077"/>
      <c r="N229" s="4077"/>
      <c r="O229" s="4077"/>
      <c r="P229" s="4077"/>
      <c r="Q229" s="4078"/>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1565</v>
      </c>
      <c r="B232" s="1395" t="s">
        <v>1566</v>
      </c>
      <c r="C232" s="1395"/>
      <c r="D232" s="1395"/>
      <c r="E232" s="1395"/>
      <c r="F232" s="1395"/>
      <c r="G232" s="1395"/>
      <c r="H232" s="2545"/>
      <c r="I232" s="2545"/>
      <c r="J232" s="2545"/>
      <c r="K232" s="2545"/>
      <c r="L232" s="2545"/>
      <c r="M232" s="2545"/>
      <c r="N232" s="1437"/>
      <c r="O232" s="1398" t="s">
        <v>1450</v>
      </c>
      <c r="P232" s="4051"/>
      <c r="Q232" s="4116"/>
      <c r="AA232" s="1787">
        <v>222</v>
      </c>
    </row>
    <row r="233" spans="1:28" ht="33.75" customHeight="1">
      <c r="A233" s="2550"/>
      <c r="B233" s="4072" t="s">
        <v>1567</v>
      </c>
      <c r="C233" s="4072"/>
      <c r="D233" s="4072"/>
      <c r="E233" s="4072"/>
      <c r="F233" s="4072"/>
      <c r="G233" s="4072"/>
      <c r="H233" s="4072"/>
      <c r="I233" s="4072"/>
      <c r="J233" s="4072"/>
      <c r="K233" s="4072"/>
      <c r="L233" s="4072"/>
      <c r="M233" s="4072"/>
      <c r="N233" s="4072"/>
      <c r="O233" s="4080"/>
      <c r="P233" s="4124"/>
      <c r="Q233" s="4125"/>
      <c r="AA233" s="1787">
        <v>223</v>
      </c>
    </row>
    <row r="234" spans="1:28" s="1438" customFormat="1" ht="15">
      <c r="A234" s="1417" t="s">
        <v>185</v>
      </c>
      <c r="B234" s="1504" t="s">
        <v>1568</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1569</v>
      </c>
      <c r="D235" s="1766"/>
      <c r="E235" s="1766"/>
      <c r="F235" s="1767"/>
      <c r="G235" s="4190" t="s">
        <v>1570</v>
      </c>
      <c r="H235" s="4190"/>
      <c r="I235" s="4190"/>
      <c r="J235" s="4190"/>
      <c r="K235" s="4190"/>
      <c r="L235" s="4190"/>
      <c r="M235" s="4190"/>
      <c r="N235" s="4190"/>
      <c r="O235" s="4191"/>
      <c r="P235" s="2773"/>
      <c r="Q235" s="2769"/>
      <c r="R235" s="1487"/>
      <c r="S235" s="1487"/>
      <c r="T235" s="1487"/>
      <c r="U235" s="1487"/>
      <c r="V235" s="1487"/>
      <c r="W235" s="1487"/>
      <c r="X235" s="1487"/>
      <c r="Y235" s="1487"/>
      <c r="Z235" s="1487"/>
      <c r="AA235" s="1788">
        <v>225</v>
      </c>
      <c r="AB235" s="1487"/>
    </row>
    <row r="236" spans="1:28" s="1438" customFormat="1" ht="30.75" customHeight="1">
      <c r="A236" s="1417"/>
      <c r="C236" s="4160" t="s">
        <v>1571</v>
      </c>
      <c r="D236" s="4160"/>
      <c r="E236" s="4160"/>
      <c r="F236" s="4160"/>
      <c r="G236" s="4160" t="s">
        <v>1572</v>
      </c>
      <c r="H236" s="4160"/>
      <c r="I236" s="4160"/>
      <c r="J236" s="4160"/>
      <c r="K236" s="4160"/>
      <c r="L236" s="4160"/>
      <c r="M236" s="4160"/>
      <c r="N236" s="4160"/>
      <c r="O236" s="4161"/>
      <c r="P236" s="1505"/>
      <c r="Q236" s="1415"/>
      <c r="R236" s="1487"/>
      <c r="S236" s="1487"/>
      <c r="T236" s="1487"/>
      <c r="U236" s="1487"/>
      <c r="V236" s="1487"/>
      <c r="W236" s="1487"/>
      <c r="X236" s="1487"/>
      <c r="Y236" s="1487"/>
      <c r="Z236" s="1487"/>
      <c r="AA236" s="1787">
        <v>226</v>
      </c>
      <c r="AB236" s="1487"/>
    </row>
    <row r="237" spans="1:28" ht="44.25" customHeight="1">
      <c r="A237" s="1417" t="s">
        <v>197</v>
      </c>
      <c r="B237" s="4160" t="s">
        <v>1573</v>
      </c>
      <c r="C237" s="4160"/>
      <c r="D237" s="4160"/>
      <c r="E237" s="4160"/>
      <c r="F237" s="4160"/>
      <c r="G237" s="4160"/>
      <c r="H237" s="4160"/>
      <c r="I237" s="4160"/>
      <c r="J237" s="4160"/>
      <c r="K237" s="4160"/>
      <c r="L237" s="4160"/>
      <c r="M237" s="4160"/>
      <c r="N237" s="4160"/>
      <c r="O237" s="4160"/>
      <c r="P237" s="2774"/>
      <c r="Q237" s="2767"/>
      <c r="AA237" s="1787">
        <v>227</v>
      </c>
    </row>
    <row r="238" spans="1:28" ht="20.25" customHeight="1">
      <c r="A238" s="1405" t="s">
        <v>218</v>
      </c>
      <c r="B238" s="1396" t="s">
        <v>1574</v>
      </c>
      <c r="G238" s="1396" t="s">
        <v>1575</v>
      </c>
      <c r="P238" s="2774"/>
      <c r="Q238" s="2767"/>
      <c r="AA238" s="1787">
        <v>228</v>
      </c>
    </row>
    <row r="239" spans="1:28" ht="45" customHeight="1">
      <c r="A239" s="1417" t="s">
        <v>220</v>
      </c>
      <c r="B239" s="4160" t="s">
        <v>1576</v>
      </c>
      <c r="C239" s="4160"/>
      <c r="D239" s="4160"/>
      <c r="E239" s="4160"/>
      <c r="F239" s="4160"/>
      <c r="G239" s="4160"/>
      <c r="H239" s="4160"/>
      <c r="I239" s="4160"/>
      <c r="J239" s="4160"/>
      <c r="K239" s="4160"/>
      <c r="L239" s="4160"/>
      <c r="M239" s="4160"/>
      <c r="N239" s="4160"/>
      <c r="O239" s="4160"/>
      <c r="P239" s="2774"/>
      <c r="Q239" s="2767"/>
      <c r="AA239" s="1787">
        <v>229</v>
      </c>
    </row>
    <row r="240" spans="1:28" ht="15.75" customHeight="1">
      <c r="B240" s="1410" t="s">
        <v>1456</v>
      </c>
      <c r="D240" s="1410"/>
      <c r="E240" s="1410"/>
      <c r="F240" s="1410"/>
      <c r="G240" s="1410"/>
      <c r="H240" s="2549"/>
      <c r="I240" s="1397"/>
      <c r="J240" s="1397"/>
      <c r="K240" s="1397"/>
      <c r="L240" s="1394"/>
      <c r="M240" s="1394"/>
      <c r="N240" s="1394"/>
      <c r="O240" s="1394"/>
      <c r="P240" s="1394"/>
      <c r="Q240" s="1394"/>
      <c r="AA240" s="1787">
        <v>230</v>
      </c>
    </row>
    <row r="241" spans="1:27" ht="45" customHeight="1">
      <c r="A241" s="4073" t="s">
        <v>7390</v>
      </c>
      <c r="B241" s="4117"/>
      <c r="C241" s="4117"/>
      <c r="D241" s="4117"/>
      <c r="E241" s="4117"/>
      <c r="F241" s="4117"/>
      <c r="G241" s="4117"/>
      <c r="H241" s="4117"/>
      <c r="I241" s="4117"/>
      <c r="J241" s="4117"/>
      <c r="K241" s="4117"/>
      <c r="L241" s="4117"/>
      <c r="M241" s="4117"/>
      <c r="N241" s="4117"/>
      <c r="O241" s="4117"/>
      <c r="P241" s="4117"/>
      <c r="Q241" s="4118"/>
      <c r="AA241" s="1787">
        <v>231</v>
      </c>
    </row>
    <row r="242" spans="1:27" ht="15.75" customHeight="1">
      <c r="B242" s="1400" t="s">
        <v>1452</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4076"/>
      <c r="B243" s="4187"/>
      <c r="C243" s="4187"/>
      <c r="D243" s="4187"/>
      <c r="E243" s="4187"/>
      <c r="F243" s="4187"/>
      <c r="G243" s="4187"/>
      <c r="H243" s="4187"/>
      <c r="I243" s="4187"/>
      <c r="J243" s="4187"/>
      <c r="K243" s="4187"/>
      <c r="L243" s="4187"/>
      <c r="M243" s="4187"/>
      <c r="N243" s="4187"/>
      <c r="O243" s="4187"/>
      <c r="P243" s="4187"/>
      <c r="Q243" s="4188"/>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1577</v>
      </c>
      <c r="B246" s="1395" t="s">
        <v>1578</v>
      </c>
      <c r="C246" s="1395"/>
      <c r="D246" s="1395"/>
      <c r="E246" s="1395"/>
      <c r="F246" s="1395"/>
      <c r="G246" s="1395"/>
      <c r="H246" s="2545"/>
      <c r="I246" s="2545"/>
      <c r="J246" s="2545"/>
      <c r="K246" s="2545"/>
      <c r="L246" s="2545"/>
      <c r="M246" s="2545"/>
      <c r="N246" s="1439"/>
      <c r="O246" s="1398" t="s">
        <v>1450</v>
      </c>
      <c r="P246" s="4051"/>
      <c r="Q246" s="4053"/>
      <c r="AA246" s="1787">
        <v>236</v>
      </c>
    </row>
    <row r="247" spans="1:27" ht="15" customHeight="1">
      <c r="A247" s="1405"/>
      <c r="B247" s="4189" t="s">
        <v>1579</v>
      </c>
      <c r="C247" s="4189"/>
      <c r="D247" s="4189"/>
      <c r="E247" s="4189"/>
      <c r="F247" s="4189"/>
      <c r="I247" s="4057"/>
      <c r="J247" s="4058"/>
      <c r="K247" s="4058"/>
      <c r="L247" s="4058"/>
      <c r="M247" s="4058"/>
      <c r="N247" s="4058"/>
      <c r="O247" s="4058"/>
      <c r="P247" s="4058"/>
      <c r="Q247" s="4059"/>
      <c r="AA247" s="1787">
        <v>237</v>
      </c>
    </row>
    <row r="248" spans="1:27" ht="15" customHeight="1">
      <c r="A248" s="1405"/>
      <c r="B248" s="4189" t="s">
        <v>1580</v>
      </c>
      <c r="C248" s="4189"/>
      <c r="D248" s="4189"/>
      <c r="E248" s="4189"/>
      <c r="F248" s="4189"/>
      <c r="I248" s="4054"/>
      <c r="J248" s="4055"/>
      <c r="K248" s="4055"/>
      <c r="L248" s="4055"/>
      <c r="M248" s="4055"/>
      <c r="N248" s="4055"/>
      <c r="O248" s="4055"/>
      <c r="P248" s="4055"/>
      <c r="Q248" s="4056"/>
      <c r="AA248" s="1787">
        <v>238</v>
      </c>
    </row>
    <row r="249" spans="1:27" ht="30" customHeight="1">
      <c r="A249" s="1405"/>
      <c r="B249" s="4160" t="s">
        <v>1581</v>
      </c>
      <c r="C249" s="4160"/>
      <c r="D249" s="4160"/>
      <c r="E249" s="4160"/>
      <c r="F249" s="4160"/>
      <c r="G249" s="4160"/>
      <c r="H249" s="4160"/>
      <c r="I249" s="4160"/>
      <c r="J249" s="4160"/>
      <c r="K249" s="4160"/>
      <c r="L249" s="4160"/>
      <c r="M249" s="4160"/>
      <c r="N249" s="4160"/>
      <c r="O249" s="4197"/>
      <c r="P249" s="4198"/>
      <c r="Q249" s="4199"/>
      <c r="AA249" s="1787">
        <v>239</v>
      </c>
    </row>
    <row r="250" spans="1:27" ht="15.75" customHeight="1">
      <c r="B250" s="1410" t="s">
        <v>1456</v>
      </c>
      <c r="D250" s="1410"/>
      <c r="E250" s="1410"/>
      <c r="F250" s="1410"/>
      <c r="G250" s="1410"/>
      <c r="H250" s="2549"/>
      <c r="I250" s="1397"/>
      <c r="J250" s="1397"/>
      <c r="K250" s="1397"/>
      <c r="L250" s="1394"/>
      <c r="M250" s="1394"/>
      <c r="N250" s="1394"/>
      <c r="O250" s="1394"/>
      <c r="P250" s="1394"/>
      <c r="Q250" s="1394"/>
      <c r="AA250" s="1787">
        <v>240</v>
      </c>
    </row>
    <row r="251" spans="1:27" ht="30" customHeight="1">
      <c r="A251" s="4062" t="s">
        <v>7390</v>
      </c>
      <c r="B251" s="4063"/>
      <c r="C251" s="4063"/>
      <c r="D251" s="4063"/>
      <c r="E251" s="4063"/>
      <c r="F251" s="4063"/>
      <c r="G251" s="4063"/>
      <c r="H251" s="4063"/>
      <c r="I251" s="4063"/>
      <c r="J251" s="4063"/>
      <c r="K251" s="4063"/>
      <c r="L251" s="4063"/>
      <c r="M251" s="4063"/>
      <c r="N251" s="4063"/>
      <c r="O251" s="4063"/>
      <c r="P251" s="4063"/>
      <c r="Q251" s="4064"/>
      <c r="AA251" s="1787">
        <v>241</v>
      </c>
    </row>
    <row r="252" spans="1:27" ht="15.75" customHeight="1">
      <c r="B252" s="1400" t="s">
        <v>1452</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4086"/>
      <c r="B253" s="4195"/>
      <c r="C253" s="4195"/>
      <c r="D253" s="4195"/>
      <c r="E253" s="4195"/>
      <c r="F253" s="4195"/>
      <c r="G253" s="4195"/>
      <c r="H253" s="4195"/>
      <c r="I253" s="4195"/>
      <c r="J253" s="4195"/>
      <c r="K253" s="4195"/>
      <c r="L253" s="4195"/>
      <c r="M253" s="4195"/>
      <c r="N253" s="4195"/>
      <c r="O253" s="4195"/>
      <c r="P253" s="4195"/>
      <c r="Q253" s="4196"/>
      <c r="AA253" s="1787">
        <v>243</v>
      </c>
    </row>
    <row r="254" spans="1:27" ht="11.1" customHeight="1">
      <c r="A254" s="1394"/>
      <c r="B254" s="1397"/>
      <c r="C254" s="2545"/>
      <c r="D254" s="2545"/>
      <c r="E254" s="2545"/>
      <c r="F254" s="2545"/>
      <c r="G254" s="2545"/>
      <c r="H254" s="2545"/>
      <c r="I254" s="2545"/>
      <c r="J254" s="2545"/>
      <c r="K254" s="2545"/>
      <c r="L254" s="2545"/>
      <c r="M254" s="2545"/>
      <c r="Q254" s="1394"/>
      <c r="AA254" s="1787">
        <v>244</v>
      </c>
    </row>
    <row r="255" spans="1:27" ht="11.1"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1582</v>
      </c>
      <c r="B256" s="1395" t="s">
        <v>1583</v>
      </c>
      <c r="C256" s="1395"/>
      <c r="D256" s="1395"/>
      <c r="E256" s="2545"/>
      <c r="G256" s="1396" t="s">
        <v>1584</v>
      </c>
      <c r="H256" s="2545"/>
      <c r="I256" s="2545"/>
      <c r="J256" s="2545"/>
      <c r="K256" s="2545"/>
      <c r="L256" s="2545"/>
      <c r="M256" s="2545"/>
      <c r="O256" s="1398" t="s">
        <v>1450</v>
      </c>
      <c r="P256" s="4051"/>
      <c r="Q256" s="4053"/>
      <c r="AA256" s="1787">
        <v>246</v>
      </c>
    </row>
    <row r="257" spans="1:27" ht="15.6" customHeight="1">
      <c r="A257" s="1405"/>
      <c r="B257" s="1396" t="s">
        <v>1585</v>
      </c>
      <c r="D257" s="2548"/>
      <c r="E257" s="2548"/>
      <c r="O257" s="2552"/>
      <c r="P257" s="4119"/>
      <c r="Q257" s="4147"/>
      <c r="AA257" s="1787">
        <v>247</v>
      </c>
    </row>
    <row r="258" spans="1:27" ht="15.6" customHeight="1">
      <c r="A258" s="1405"/>
      <c r="B258" s="1396" t="s">
        <v>1586</v>
      </c>
      <c r="D258" s="2548"/>
      <c r="E258" s="2548"/>
      <c r="O258" s="2552"/>
      <c r="P258" s="4168"/>
      <c r="Q258" s="4192"/>
      <c r="AA258" s="1787">
        <v>248</v>
      </c>
    </row>
    <row r="259" spans="1:27" ht="15.6" customHeight="1">
      <c r="A259" s="1405"/>
      <c r="B259" s="1396" t="s">
        <v>435</v>
      </c>
      <c r="D259" s="4065"/>
      <c r="E259" s="4066"/>
      <c r="F259" s="4066"/>
      <c r="G259" s="4066"/>
      <c r="H259" s="4066"/>
      <c r="I259" s="4066"/>
      <c r="J259" s="4066"/>
      <c r="K259" s="4066"/>
      <c r="L259" s="4066"/>
      <c r="M259" s="4066"/>
      <c r="N259" s="4066"/>
      <c r="O259" s="4066"/>
      <c r="P259" s="4193"/>
      <c r="Q259" s="4194"/>
      <c r="AA259" s="1788">
        <v>249</v>
      </c>
    </row>
    <row r="260" spans="1:27" ht="15.75" customHeight="1">
      <c r="B260" s="1410" t="s">
        <v>1456</v>
      </c>
      <c r="D260" s="1410"/>
      <c r="E260" s="1410"/>
      <c r="F260" s="1410"/>
      <c r="G260" s="1410"/>
      <c r="H260" s="2549"/>
      <c r="I260" s="1397"/>
      <c r="J260" s="1397"/>
      <c r="K260" s="1397"/>
      <c r="L260" s="1394"/>
      <c r="M260" s="1394"/>
      <c r="N260" s="1394"/>
      <c r="O260" s="1394"/>
      <c r="P260" s="1394"/>
      <c r="Q260" s="1394"/>
      <c r="AA260" s="1787">
        <v>250</v>
      </c>
    </row>
    <row r="261" spans="1:27" ht="15" customHeight="1">
      <c r="A261" s="4062" t="s">
        <v>7390</v>
      </c>
      <c r="B261" s="4063"/>
      <c r="C261" s="4063"/>
      <c r="D261" s="4063"/>
      <c r="E261" s="4063"/>
      <c r="F261" s="4063"/>
      <c r="G261" s="4063"/>
      <c r="H261" s="4063"/>
      <c r="I261" s="4063"/>
      <c r="J261" s="4063"/>
      <c r="K261" s="4063"/>
      <c r="L261" s="4063"/>
      <c r="M261" s="4063"/>
      <c r="N261" s="4063"/>
      <c r="O261" s="4063"/>
      <c r="P261" s="4063"/>
      <c r="Q261" s="4064"/>
      <c r="AA261" s="1787">
        <v>251</v>
      </c>
    </row>
    <row r="262" spans="1:27" ht="15.75" customHeight="1">
      <c r="B262" s="1400" t="s">
        <v>1452</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4086"/>
      <c r="B263" s="4195"/>
      <c r="C263" s="4195"/>
      <c r="D263" s="4195"/>
      <c r="E263" s="4195"/>
      <c r="F263" s="4195"/>
      <c r="G263" s="4195"/>
      <c r="H263" s="4195"/>
      <c r="I263" s="4195"/>
      <c r="J263" s="4195"/>
      <c r="K263" s="4195"/>
      <c r="L263" s="4195"/>
      <c r="M263" s="4195"/>
      <c r="N263" s="4195"/>
      <c r="O263" s="4195"/>
      <c r="P263" s="4195"/>
      <c r="Q263" s="4196"/>
      <c r="AA263" s="1787">
        <v>253</v>
      </c>
    </row>
    <row r="264" spans="1:27" ht="11.1"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1587</v>
      </c>
      <c r="B266" s="1395" t="s">
        <v>1588</v>
      </c>
      <c r="C266" s="1395"/>
      <c r="D266" s="1395"/>
      <c r="E266" s="1395"/>
      <c r="F266" s="1395"/>
      <c r="G266" s="1395"/>
      <c r="H266" s="2545"/>
      <c r="I266" s="2545"/>
      <c r="J266" s="2545"/>
      <c r="K266" s="2545"/>
      <c r="L266" s="2545"/>
      <c r="M266" s="2545"/>
      <c r="O266" s="1398" t="s">
        <v>1450</v>
      </c>
      <c r="P266" s="4051"/>
      <c r="Q266" s="4053"/>
      <c r="AA266" s="1787">
        <v>256</v>
      </c>
    </row>
    <row r="267" spans="1:27" ht="15.6" customHeight="1">
      <c r="B267" s="1396" t="s">
        <v>1589</v>
      </c>
      <c r="O267" s="2552"/>
      <c r="P267" s="4119"/>
      <c r="Q267" s="4147"/>
      <c r="AA267" s="1787">
        <v>257</v>
      </c>
    </row>
    <row r="268" spans="1:27" ht="15.6" customHeight="1">
      <c r="A268" s="1405"/>
      <c r="B268" s="4203" t="s">
        <v>1590</v>
      </c>
      <c r="C268" s="4203"/>
      <c r="D268" s="4203"/>
      <c r="E268" s="4203"/>
      <c r="F268" s="4203"/>
      <c r="G268" s="4203"/>
      <c r="H268" s="4203"/>
      <c r="I268" s="4203"/>
      <c r="J268" s="4203"/>
      <c r="K268" s="4203"/>
      <c r="L268" s="4203"/>
      <c r="M268" s="4203"/>
      <c r="N268" s="4203"/>
      <c r="O268" s="4203"/>
      <c r="P268" s="4168"/>
      <c r="Q268" s="4192"/>
      <c r="AA268" s="1788">
        <v>258</v>
      </c>
    </row>
    <row r="269" spans="1:27" ht="15.6" customHeight="1">
      <c r="B269" s="4203" t="s">
        <v>1591</v>
      </c>
      <c r="C269" s="4203"/>
      <c r="D269" s="4203"/>
      <c r="E269" s="4203"/>
      <c r="F269" s="4203"/>
      <c r="G269" s="4203"/>
      <c r="H269" s="4203"/>
      <c r="I269" s="4203"/>
      <c r="J269" s="4203"/>
      <c r="K269" s="4203"/>
      <c r="L269" s="4203"/>
      <c r="M269" s="4203"/>
      <c r="N269" s="4203"/>
      <c r="O269" s="4203"/>
      <c r="P269" s="4168"/>
      <c r="Q269" s="4192"/>
      <c r="AA269" s="1787">
        <v>259</v>
      </c>
    </row>
    <row r="270" spans="1:27" ht="27.95" customHeight="1">
      <c r="A270" s="1405"/>
      <c r="B270" s="4204" t="s">
        <v>1592</v>
      </c>
      <c r="C270" s="4204"/>
      <c r="D270" s="4204"/>
      <c r="E270" s="4204"/>
      <c r="F270" s="4204"/>
      <c r="G270" s="4204"/>
      <c r="H270" s="4204"/>
      <c r="I270" s="4204"/>
      <c r="J270" s="4204"/>
      <c r="K270" s="4204"/>
      <c r="L270" s="4204"/>
      <c r="M270" s="4204"/>
      <c r="N270" s="4204"/>
      <c r="O270" s="4204"/>
      <c r="P270" s="4170"/>
      <c r="Q270" s="4205"/>
      <c r="AA270" s="1787">
        <v>260</v>
      </c>
    </row>
    <row r="271" spans="1:27" ht="15.75" customHeight="1">
      <c r="B271" s="1410" t="s">
        <v>1456</v>
      </c>
      <c r="D271" s="1410"/>
      <c r="E271" s="1410"/>
      <c r="F271" s="1410"/>
      <c r="G271" s="1410"/>
      <c r="H271" s="2549"/>
      <c r="I271" s="1397"/>
      <c r="J271" s="1397"/>
      <c r="K271" s="1397"/>
      <c r="AA271" s="1787">
        <v>261</v>
      </c>
    </row>
    <row r="272" spans="1:27" ht="15" customHeight="1">
      <c r="A272" s="4062" t="s">
        <v>7390</v>
      </c>
      <c r="B272" s="4063"/>
      <c r="C272" s="4063"/>
      <c r="D272" s="4063"/>
      <c r="E272" s="4063"/>
      <c r="F272" s="4063"/>
      <c r="G272" s="4063"/>
      <c r="H272" s="4063"/>
      <c r="I272" s="4063"/>
      <c r="J272" s="4063"/>
      <c r="K272" s="4063"/>
      <c r="L272" s="4063"/>
      <c r="M272" s="4063"/>
      <c r="N272" s="4063"/>
      <c r="O272" s="4063"/>
      <c r="P272" s="4063"/>
      <c r="Q272" s="4064"/>
      <c r="AA272" s="1787">
        <v>262</v>
      </c>
    </row>
    <row r="273" spans="1:27" ht="15.75" customHeight="1">
      <c r="B273" s="1400" t="s">
        <v>1452</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4086"/>
      <c r="B274" s="4195"/>
      <c r="C274" s="4195"/>
      <c r="D274" s="4195"/>
      <c r="E274" s="4195"/>
      <c r="F274" s="4195"/>
      <c r="G274" s="4195"/>
      <c r="H274" s="4195"/>
      <c r="I274" s="4195"/>
      <c r="J274" s="4195"/>
      <c r="K274" s="4195"/>
      <c r="L274" s="4195"/>
      <c r="M274" s="4195"/>
      <c r="N274" s="4195"/>
      <c r="O274" s="4195"/>
      <c r="P274" s="4195"/>
      <c r="Q274" s="4196"/>
      <c r="AA274" s="1787">
        <v>264</v>
      </c>
    </row>
    <row r="275" spans="1:27" ht="11.1" customHeight="1">
      <c r="A275" s="1394"/>
      <c r="B275" s="1397"/>
      <c r="C275" s="2545"/>
      <c r="D275" s="2545"/>
      <c r="E275" s="2545"/>
      <c r="F275" s="2545"/>
      <c r="G275" s="2545"/>
      <c r="H275" s="2545"/>
      <c r="I275" s="2545"/>
      <c r="J275" s="2545"/>
      <c r="K275" s="2545"/>
      <c r="L275" s="2545"/>
      <c r="M275" s="2545"/>
      <c r="Q275" s="1394"/>
      <c r="AA275" s="1787">
        <v>265</v>
      </c>
    </row>
    <row r="276" spans="1:27" ht="11.1"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1593</v>
      </c>
      <c r="B277" s="1395" t="s">
        <v>1594</v>
      </c>
      <c r="C277" s="1395"/>
      <c r="D277" s="1395"/>
      <c r="E277" s="2545"/>
      <c r="F277" s="2545"/>
      <c r="G277" s="2545"/>
      <c r="H277" s="2545"/>
      <c r="O277" s="1398" t="s">
        <v>1450</v>
      </c>
      <c r="P277" s="4079"/>
      <c r="Q277" s="4079"/>
      <c r="AA277" s="1787">
        <v>267</v>
      </c>
    </row>
    <row r="278" spans="1:27" ht="28.5" customHeight="1">
      <c r="A278" s="1399"/>
      <c r="B278" s="4072" t="s">
        <v>1595</v>
      </c>
      <c r="C278" s="4072"/>
      <c r="D278" s="4072"/>
      <c r="E278" s="4072"/>
      <c r="F278" s="4072"/>
      <c r="G278" s="4072"/>
      <c r="H278" s="4072"/>
      <c r="I278" s="4072"/>
      <c r="J278" s="4072"/>
      <c r="K278" s="4072"/>
      <c r="L278" s="4072"/>
      <c r="M278" s="4072"/>
      <c r="N278" s="4072"/>
      <c r="O278" s="1440"/>
      <c r="P278" s="4200" t="s">
        <v>7680</v>
      </c>
      <c r="Q278" s="4201"/>
      <c r="AA278" s="1787">
        <v>268</v>
      </c>
    </row>
    <row r="279" spans="1:27" ht="44.45" customHeight="1">
      <c r="A279" s="1417"/>
      <c r="B279" s="4160" t="s">
        <v>1596</v>
      </c>
      <c r="C279" s="4160"/>
      <c r="D279" s="4160"/>
      <c r="E279" s="4160"/>
      <c r="F279" s="4160"/>
      <c r="G279" s="4160"/>
      <c r="H279" s="4160"/>
      <c r="I279" s="4160"/>
      <c r="J279" s="4160"/>
      <c r="K279" s="4160"/>
      <c r="L279" s="4160"/>
      <c r="M279" s="4160"/>
      <c r="N279" s="4160"/>
      <c r="O279" s="4161"/>
      <c r="P279" s="4202" t="s">
        <v>7680</v>
      </c>
      <c r="Q279" s="4202"/>
      <c r="AA279" s="1787">
        <v>269</v>
      </c>
    </row>
    <row r="280" spans="1:27" ht="15.75" customHeight="1">
      <c r="B280" s="1410" t="s">
        <v>1456</v>
      </c>
      <c r="D280" s="1410"/>
      <c r="E280" s="1410"/>
      <c r="F280" s="1410"/>
      <c r="G280" s="1410"/>
      <c r="H280" s="2549"/>
      <c r="I280" s="1397"/>
      <c r="J280" s="1397"/>
      <c r="K280" s="1397"/>
      <c r="L280" s="1394"/>
      <c r="M280" s="1394"/>
      <c r="N280" s="1394"/>
      <c r="O280" s="1394"/>
      <c r="P280" s="1394"/>
      <c r="Q280" s="1394"/>
      <c r="AA280" s="1787">
        <v>270</v>
      </c>
    </row>
    <row r="281" spans="1:27" ht="30" customHeight="1">
      <c r="A281" s="4062" t="s">
        <v>7713</v>
      </c>
      <c r="B281" s="4063"/>
      <c r="C281" s="4063"/>
      <c r="D281" s="4063"/>
      <c r="E281" s="4063"/>
      <c r="F281" s="4063"/>
      <c r="G281" s="4063"/>
      <c r="H281" s="4063"/>
      <c r="I281" s="4063"/>
      <c r="J281" s="4063"/>
      <c r="K281" s="4063"/>
      <c r="L281" s="4063"/>
      <c r="M281" s="4063"/>
      <c r="N281" s="4063"/>
      <c r="O281" s="4063"/>
      <c r="P281" s="4063"/>
      <c r="Q281" s="4064"/>
      <c r="AA281" s="1787">
        <v>271</v>
      </c>
    </row>
    <row r="282" spans="1:27" ht="15.75" customHeight="1">
      <c r="B282" s="1400" t="s">
        <v>1452</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4086"/>
      <c r="B283" s="4195"/>
      <c r="C283" s="4195"/>
      <c r="D283" s="4195"/>
      <c r="E283" s="4195"/>
      <c r="F283" s="4195"/>
      <c r="G283" s="4195"/>
      <c r="H283" s="4195"/>
      <c r="I283" s="4195"/>
      <c r="J283" s="4195"/>
      <c r="K283" s="4195"/>
      <c r="L283" s="4195"/>
      <c r="M283" s="4195"/>
      <c r="N283" s="4195"/>
      <c r="O283" s="4195"/>
      <c r="P283" s="4195"/>
      <c r="Q283" s="4196"/>
      <c r="AA283" s="1788">
        <v>273</v>
      </c>
    </row>
    <row r="284" spans="1:27" ht="11.45" customHeight="1">
      <c r="A284" s="1394"/>
      <c r="B284" s="1397"/>
      <c r="C284" s="2545"/>
      <c r="D284" s="2545"/>
      <c r="E284" s="2545"/>
      <c r="F284" s="2545"/>
      <c r="G284" s="2545"/>
      <c r="H284" s="2545"/>
      <c r="I284" s="2545"/>
      <c r="J284" s="2545"/>
      <c r="K284" s="2545"/>
      <c r="L284" s="2545"/>
      <c r="M284" s="2545"/>
      <c r="Q284" s="1394"/>
      <c r="AA284" s="1787">
        <v>274</v>
      </c>
    </row>
    <row r="285" spans="1:27" ht="11.45"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1597</v>
      </c>
      <c r="B286" s="2550" t="s">
        <v>1598</v>
      </c>
      <c r="C286" s="2545"/>
      <c r="D286" s="2545"/>
      <c r="E286" s="2545"/>
      <c r="F286" s="2545"/>
      <c r="G286" s="2545"/>
      <c r="H286" s="2545"/>
      <c r="I286" s="2545"/>
      <c r="J286" s="2545"/>
      <c r="K286" s="2545"/>
      <c r="L286" s="2545"/>
      <c r="M286" s="2545"/>
      <c r="O286" s="1398" t="s">
        <v>1450</v>
      </c>
      <c r="P286" s="4079"/>
      <c r="Q286" s="4079"/>
      <c r="AA286" s="1787">
        <v>276</v>
      </c>
    </row>
    <row r="287" spans="1:27" ht="14.25" customHeight="1">
      <c r="A287" s="1506" t="s">
        <v>185</v>
      </c>
      <c r="B287" s="2550" t="s">
        <v>1599</v>
      </c>
      <c r="C287" s="2550"/>
      <c r="D287" s="2549"/>
      <c r="E287" s="2545"/>
      <c r="F287" s="2545"/>
      <c r="G287" s="2545"/>
      <c r="H287" s="2545"/>
      <c r="I287" s="2545"/>
      <c r="J287" s="2545"/>
      <c r="K287" s="2545"/>
      <c r="L287" s="2545"/>
      <c r="M287" s="2545"/>
      <c r="P287" s="4208" t="s">
        <v>7680</v>
      </c>
      <c r="Q287" s="4208"/>
      <c r="AA287" s="1787">
        <v>277</v>
      </c>
    </row>
    <row r="288" spans="1:27" ht="30" customHeight="1">
      <c r="A288" s="2549"/>
      <c r="B288" s="4160" t="s">
        <v>1600</v>
      </c>
      <c r="C288" s="4160"/>
      <c r="D288" s="4160"/>
      <c r="E288" s="4160"/>
      <c r="F288" s="4160"/>
      <c r="G288" s="4160"/>
      <c r="H288" s="4160"/>
      <c r="I288" s="4160"/>
      <c r="J288" s="4160"/>
      <c r="K288" s="4160"/>
      <c r="L288" s="4160"/>
      <c r="M288" s="4160"/>
      <c r="N288" s="4160"/>
      <c r="O288" s="4161"/>
      <c r="P288" s="4207"/>
      <c r="Q288" s="4207"/>
      <c r="AA288" s="1787">
        <v>278</v>
      </c>
    </row>
    <row r="289" spans="1:27" ht="14.25" customHeight="1">
      <c r="A289" s="1506" t="s">
        <v>197</v>
      </c>
      <c r="B289" s="2550" t="s">
        <v>1601</v>
      </c>
      <c r="C289" s="1399"/>
      <c r="D289" s="2549"/>
      <c r="E289" s="2545"/>
      <c r="F289" s="2545"/>
      <c r="G289" s="2545"/>
      <c r="H289" s="2545"/>
      <c r="I289" s="2545"/>
      <c r="J289" s="2545"/>
      <c r="K289" s="2545"/>
      <c r="L289" s="2545"/>
      <c r="M289" s="2545"/>
      <c r="P289" s="4207" t="s">
        <v>7680</v>
      </c>
      <c r="Q289" s="4207"/>
      <c r="AA289" s="1787">
        <v>279</v>
      </c>
    </row>
    <row r="290" spans="1:27" ht="29.25" customHeight="1">
      <c r="A290" s="2549"/>
      <c r="B290" s="4160" t="s">
        <v>1602</v>
      </c>
      <c r="C290" s="4160"/>
      <c r="D290" s="4160"/>
      <c r="E290" s="4160"/>
      <c r="F290" s="4160"/>
      <c r="G290" s="4160"/>
      <c r="H290" s="4160"/>
      <c r="I290" s="4160"/>
      <c r="J290" s="4160"/>
      <c r="K290" s="4160"/>
      <c r="L290" s="4160"/>
      <c r="M290" s="4160"/>
      <c r="N290" s="4160"/>
      <c r="O290" s="4161"/>
      <c r="P290" s="4202"/>
      <c r="Q290" s="4202"/>
      <c r="AA290" s="1787">
        <v>280</v>
      </c>
    </row>
    <row r="291" spans="1:27" ht="15.75" customHeight="1">
      <c r="A291" s="2550"/>
      <c r="B291" s="1410" t="s">
        <v>1456</v>
      </c>
      <c r="D291" s="1410"/>
      <c r="E291" s="1410"/>
      <c r="F291" s="1410"/>
      <c r="G291" s="1410"/>
      <c r="H291" s="2549"/>
      <c r="I291" s="1397"/>
      <c r="J291" s="1397"/>
      <c r="K291" s="1397"/>
      <c r="L291" s="1394"/>
      <c r="M291" s="1394"/>
      <c r="N291" s="1394"/>
      <c r="O291" s="1394"/>
      <c r="P291" s="1394"/>
      <c r="Q291" s="1394"/>
      <c r="AA291" s="1787">
        <v>281</v>
      </c>
    </row>
    <row r="292" spans="1:27" ht="15" customHeight="1">
      <c r="A292" s="4062" t="s">
        <v>7712</v>
      </c>
      <c r="B292" s="4063"/>
      <c r="C292" s="4063"/>
      <c r="D292" s="4063"/>
      <c r="E292" s="4063"/>
      <c r="F292" s="4063"/>
      <c r="G292" s="4063"/>
      <c r="H292" s="4063"/>
      <c r="I292" s="4063"/>
      <c r="J292" s="4063"/>
      <c r="K292" s="4063"/>
      <c r="L292" s="4063"/>
      <c r="M292" s="4063"/>
      <c r="N292" s="4063"/>
      <c r="O292" s="4063"/>
      <c r="P292" s="4063"/>
      <c r="Q292" s="4064"/>
      <c r="AA292" s="1788">
        <v>282</v>
      </c>
    </row>
    <row r="293" spans="1:27" ht="15.75" customHeight="1">
      <c r="B293" s="1400" t="s">
        <v>1452</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4086"/>
      <c r="B294" s="4195"/>
      <c r="C294" s="4195"/>
      <c r="D294" s="4195"/>
      <c r="E294" s="4195"/>
      <c r="F294" s="4195"/>
      <c r="G294" s="4195"/>
      <c r="H294" s="4195"/>
      <c r="I294" s="4195"/>
      <c r="J294" s="4195"/>
      <c r="K294" s="4195"/>
      <c r="L294" s="4195"/>
      <c r="M294" s="4195"/>
      <c r="N294" s="4195"/>
      <c r="O294" s="4195"/>
      <c r="P294" s="4195"/>
      <c r="Q294" s="4196"/>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1603</v>
      </c>
      <c r="B297" s="2550" t="s">
        <v>1604</v>
      </c>
      <c r="C297" s="2545"/>
      <c r="D297" s="2545"/>
      <c r="E297" s="2545"/>
      <c r="F297" s="2545"/>
      <c r="G297" s="2545"/>
      <c r="H297" s="2545"/>
      <c r="I297" s="2545"/>
      <c r="J297" s="2545"/>
      <c r="K297" s="2545"/>
      <c r="L297" s="2545"/>
      <c r="M297" s="2545"/>
      <c r="O297" s="1398" t="s">
        <v>1450</v>
      </c>
      <c r="P297" s="4079"/>
      <c r="Q297" s="4079"/>
      <c r="AA297" s="1787">
        <v>287</v>
      </c>
    </row>
    <row r="298" spans="1:27" ht="30.75" customHeight="1">
      <c r="A298" s="2550"/>
      <c r="B298" s="4072" t="s">
        <v>1605</v>
      </c>
      <c r="C298" s="4072"/>
      <c r="D298" s="4072"/>
      <c r="E298" s="4072"/>
      <c r="F298" s="4072"/>
      <c r="G298" s="4072"/>
      <c r="H298" s="4072"/>
      <c r="I298" s="4072"/>
      <c r="J298" s="4072"/>
      <c r="K298" s="4072"/>
      <c r="L298" s="4072"/>
      <c r="M298" s="4072"/>
      <c r="N298" s="4072"/>
      <c r="O298" s="4080"/>
      <c r="P298" s="4206" t="s">
        <v>7444</v>
      </c>
      <c r="Q298" s="4206"/>
      <c r="AA298" s="1787">
        <v>288</v>
      </c>
    </row>
    <row r="299" spans="1:27" ht="20.25" customHeight="1">
      <c r="A299" s="2550"/>
      <c r="B299" s="1410" t="s">
        <v>1456</v>
      </c>
      <c r="D299" s="1410"/>
      <c r="E299" s="1410"/>
      <c r="F299" s="1410"/>
      <c r="G299" s="1410"/>
      <c r="H299" s="2549"/>
      <c r="I299" s="1397"/>
      <c r="J299" s="1397"/>
      <c r="K299" s="1397"/>
      <c r="L299" s="1394"/>
      <c r="M299" s="1394"/>
      <c r="N299" s="1394"/>
      <c r="O299" s="1394"/>
      <c r="P299" s="1394"/>
      <c r="Q299" s="1394"/>
      <c r="AA299" s="1787">
        <v>289</v>
      </c>
    </row>
    <row r="300" spans="1:27" ht="15" customHeight="1">
      <c r="A300" s="4062" t="s">
        <v>7711</v>
      </c>
      <c r="B300" s="4063"/>
      <c r="C300" s="4063"/>
      <c r="D300" s="4063"/>
      <c r="E300" s="4063"/>
      <c r="F300" s="4063"/>
      <c r="G300" s="4063"/>
      <c r="H300" s="4063"/>
      <c r="I300" s="4063"/>
      <c r="J300" s="4063"/>
      <c r="K300" s="4063"/>
      <c r="L300" s="4063"/>
      <c r="M300" s="4063"/>
      <c r="N300" s="4063"/>
      <c r="O300" s="4063"/>
      <c r="P300" s="4063"/>
      <c r="Q300" s="4064"/>
      <c r="AA300" s="1787">
        <v>290</v>
      </c>
    </row>
    <row r="301" spans="1:27" ht="20.25" customHeight="1">
      <c r="B301" s="1400" t="s">
        <v>1452</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4086"/>
      <c r="B302" s="4195"/>
      <c r="C302" s="4195"/>
      <c r="D302" s="4195"/>
      <c r="E302" s="4195"/>
      <c r="F302" s="4195"/>
      <c r="G302" s="4195"/>
      <c r="H302" s="4195"/>
      <c r="I302" s="4195"/>
      <c r="J302" s="4195"/>
      <c r="K302" s="4195"/>
      <c r="L302" s="4195"/>
      <c r="M302" s="4195"/>
      <c r="N302" s="4195"/>
      <c r="O302" s="4195"/>
      <c r="P302" s="4195"/>
      <c r="Q302" s="4196"/>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1606</v>
      </c>
      <c r="B305" s="1395" t="s">
        <v>1607</v>
      </c>
      <c r="C305" s="1399"/>
      <c r="D305" s="1395"/>
      <c r="E305" s="2545"/>
      <c r="F305" s="2545"/>
      <c r="G305" s="2545"/>
      <c r="H305" s="2545"/>
      <c r="J305" s="2545"/>
      <c r="K305" s="2545"/>
      <c r="L305" s="2545"/>
      <c r="M305" s="2545"/>
      <c r="O305" s="1398" t="s">
        <v>1450</v>
      </c>
      <c r="P305" s="4051"/>
      <c r="Q305" s="4053"/>
      <c r="S305" s="1399"/>
      <c r="T305" s="1399"/>
      <c r="AA305" s="1787">
        <v>295</v>
      </c>
    </row>
    <row r="306" spans="1:27" ht="15">
      <c r="A306" s="2550"/>
      <c r="B306" s="4072" t="s">
        <v>1608</v>
      </c>
      <c r="C306" s="4072"/>
      <c r="D306" s="4072"/>
      <c r="E306" s="4072"/>
      <c r="F306" s="4072"/>
      <c r="G306" s="4072"/>
      <c r="H306" s="4072"/>
      <c r="I306" s="4072"/>
      <c r="J306" s="4072"/>
      <c r="K306" s="4072"/>
      <c r="L306" s="4072"/>
      <c r="M306" s="4072"/>
      <c r="N306" s="4072"/>
      <c r="O306" s="4080"/>
      <c r="P306" s="4209" t="s">
        <v>7444</v>
      </c>
      <c r="Q306" s="4209"/>
      <c r="AA306" s="1787">
        <v>296</v>
      </c>
    </row>
    <row r="307" spans="1:27" ht="45" customHeight="1">
      <c r="A307" s="2550"/>
      <c r="B307" s="4176" t="s">
        <v>1609</v>
      </c>
      <c r="C307" s="4176"/>
      <c r="D307" s="4176"/>
      <c r="E307" s="4176"/>
      <c r="F307" s="4176"/>
      <c r="G307" s="4176"/>
      <c r="H307" s="4176"/>
      <c r="I307" s="4176"/>
      <c r="J307" s="4176"/>
      <c r="K307" s="4176"/>
      <c r="L307" s="4176"/>
      <c r="M307" s="4176"/>
      <c r="N307" s="4176"/>
      <c r="O307" s="4210"/>
      <c r="P307" s="4202" t="s">
        <v>7444</v>
      </c>
      <c r="Q307" s="4202"/>
      <c r="AA307" s="1788">
        <v>297</v>
      </c>
    </row>
    <row r="308" spans="1:27" ht="15" customHeight="1">
      <c r="A308" s="2550"/>
      <c r="B308" s="1410" t="s">
        <v>1456</v>
      </c>
      <c r="D308" s="1410"/>
      <c r="E308" s="1410"/>
      <c r="F308" s="1410"/>
      <c r="G308" s="1410"/>
      <c r="H308" s="2549"/>
      <c r="I308" s="1397"/>
      <c r="J308" s="1397"/>
      <c r="K308" s="1397"/>
      <c r="L308" s="1394"/>
      <c r="M308" s="1394"/>
      <c r="N308" s="1394"/>
      <c r="O308" s="1394"/>
      <c r="P308" s="1394"/>
      <c r="Q308" s="1394"/>
      <c r="AA308" s="1787">
        <v>298</v>
      </c>
    </row>
    <row r="309" spans="1:27" ht="15" customHeight="1">
      <c r="A309" s="4062" t="s">
        <v>7710</v>
      </c>
      <c r="B309" s="4063"/>
      <c r="C309" s="4063"/>
      <c r="D309" s="4063"/>
      <c r="E309" s="4063"/>
      <c r="F309" s="4063"/>
      <c r="G309" s="4063"/>
      <c r="H309" s="4063"/>
      <c r="I309" s="4063"/>
      <c r="J309" s="4063"/>
      <c r="K309" s="4063"/>
      <c r="L309" s="4063"/>
      <c r="M309" s="4063"/>
      <c r="N309" s="4063"/>
      <c r="O309" s="4063"/>
      <c r="P309" s="4063"/>
      <c r="Q309" s="4064"/>
      <c r="AA309" s="1787">
        <v>299</v>
      </c>
    </row>
    <row r="310" spans="1:27" ht="15" customHeight="1">
      <c r="B310" s="1400" t="s">
        <v>1452</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4086"/>
      <c r="B311" s="4195"/>
      <c r="C311" s="4195"/>
      <c r="D311" s="4195"/>
      <c r="E311" s="4195"/>
      <c r="F311" s="4195"/>
      <c r="G311" s="4195"/>
      <c r="H311" s="4195"/>
      <c r="I311" s="4195"/>
      <c r="J311" s="4195"/>
      <c r="K311" s="4195"/>
      <c r="L311" s="4195"/>
      <c r="M311" s="4195"/>
      <c r="N311" s="4195"/>
      <c r="O311" s="4195"/>
      <c r="P311" s="4195"/>
      <c r="Q311" s="4196"/>
      <c r="AA311" s="1787">
        <v>301</v>
      </c>
    </row>
    <row r="312" spans="1:27" ht="15.6"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1610</v>
      </c>
      <c r="B313" s="1395" t="s">
        <v>1611</v>
      </c>
      <c r="C313" s="1399"/>
      <c r="D313" s="1395"/>
      <c r="E313" s="2545"/>
      <c r="F313" s="2545"/>
      <c r="G313" s="2545"/>
      <c r="H313" s="2545"/>
      <c r="J313" s="2545"/>
      <c r="K313" s="2545"/>
      <c r="L313" s="2545"/>
      <c r="M313" s="2545"/>
      <c r="O313" s="1398" t="s">
        <v>1450</v>
      </c>
      <c r="P313" s="4051"/>
      <c r="Q313" s="4053"/>
      <c r="AA313" s="1787">
        <v>303</v>
      </c>
    </row>
    <row r="314" spans="1:27" ht="15" customHeight="1">
      <c r="A314" s="2550"/>
      <c r="B314" s="4072" t="s">
        <v>1612</v>
      </c>
      <c r="C314" s="4072"/>
      <c r="D314" s="4072"/>
      <c r="E314" s="4072"/>
      <c r="F314" s="4072"/>
      <c r="G314" s="4072"/>
      <c r="H314" s="4072"/>
      <c r="I314" s="4072"/>
      <c r="J314" s="4072"/>
      <c r="K314" s="4072"/>
      <c r="L314" s="4072"/>
      <c r="M314" s="4072"/>
      <c r="N314" s="4072"/>
      <c r="O314" s="4080"/>
      <c r="P314" s="4211" t="s">
        <v>7444</v>
      </c>
      <c r="Q314" s="4211"/>
      <c r="AA314" s="1787"/>
    </row>
    <row r="315" spans="1:27" ht="19.5" customHeight="1">
      <c r="A315" s="2550"/>
      <c r="B315" s="1410" t="s">
        <v>1456</v>
      </c>
      <c r="D315" s="1410"/>
      <c r="E315" s="1410"/>
      <c r="F315" s="1410"/>
      <c r="G315" s="1410"/>
      <c r="H315" s="2549"/>
      <c r="I315" s="1397"/>
      <c r="J315" s="1397"/>
      <c r="K315" s="1397"/>
      <c r="L315" s="1394"/>
      <c r="M315" s="1394"/>
      <c r="N315" s="1394"/>
      <c r="O315" s="1394"/>
      <c r="P315" s="1394"/>
      <c r="Q315" s="1394"/>
      <c r="AA315" s="1787"/>
    </row>
    <row r="316" spans="1:27" ht="17.25" customHeight="1">
      <c r="A316" s="4062" t="s">
        <v>7709</v>
      </c>
      <c r="B316" s="4063"/>
      <c r="C316" s="4063"/>
      <c r="D316" s="4063"/>
      <c r="E316" s="4063"/>
      <c r="F316" s="4063"/>
      <c r="G316" s="4063"/>
      <c r="H316" s="4063"/>
      <c r="I316" s="4063"/>
      <c r="J316" s="4063"/>
      <c r="K316" s="4063"/>
      <c r="L316" s="4063"/>
      <c r="M316" s="4063"/>
      <c r="N316" s="4063"/>
      <c r="O316" s="4063"/>
      <c r="P316" s="4063"/>
      <c r="Q316" s="4064"/>
      <c r="AA316" s="1787"/>
    </row>
    <row r="317" spans="1:27" ht="14.25" customHeight="1">
      <c r="B317" s="1400" t="s">
        <v>1452</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4086"/>
      <c r="B318" s="4195"/>
      <c r="C318" s="4195"/>
      <c r="D318" s="4195"/>
      <c r="E318" s="4195"/>
      <c r="F318" s="4195"/>
      <c r="G318" s="4195"/>
      <c r="H318" s="4195"/>
      <c r="I318" s="4195"/>
      <c r="J318" s="4195"/>
      <c r="K318" s="4195"/>
      <c r="L318" s="4195"/>
      <c r="M318" s="4195"/>
      <c r="N318" s="4195"/>
      <c r="O318" s="4195"/>
      <c r="P318" s="4195"/>
      <c r="Q318" s="4196"/>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1613</v>
      </c>
      <c r="B320" s="1395" t="s">
        <v>1614</v>
      </c>
      <c r="C320" s="1399"/>
      <c r="D320" s="1395"/>
      <c r="E320" s="2545"/>
      <c r="F320" s="2545"/>
      <c r="G320" s="2545"/>
      <c r="H320" s="2545"/>
      <c r="J320" s="2545"/>
      <c r="K320" s="2545"/>
      <c r="L320" s="2545"/>
      <c r="M320" s="2545"/>
      <c r="O320" s="1398" t="s">
        <v>1450</v>
      </c>
      <c r="P320" s="4051"/>
      <c r="Q320" s="4053"/>
      <c r="AA320" s="1787">
        <v>304</v>
      </c>
    </row>
    <row r="321" spans="1:27" ht="15" customHeight="1">
      <c r="A321" s="2550"/>
      <c r="B321" s="1410" t="s">
        <v>1456</v>
      </c>
      <c r="D321" s="1410"/>
      <c r="E321" s="1410"/>
      <c r="F321" s="1410"/>
      <c r="G321" s="1410"/>
      <c r="H321" s="2549"/>
      <c r="I321" s="1397"/>
      <c r="J321" s="1397"/>
      <c r="K321" s="1397"/>
      <c r="L321" s="1394"/>
      <c r="M321" s="1394"/>
      <c r="N321" s="1394"/>
      <c r="O321" s="1394"/>
      <c r="P321" s="1394"/>
      <c r="Q321" s="1394"/>
      <c r="AA321" s="1787">
        <v>305</v>
      </c>
    </row>
    <row r="322" spans="1:27" ht="30" customHeight="1">
      <c r="A322" s="4062" t="s">
        <v>7695</v>
      </c>
      <c r="B322" s="4063"/>
      <c r="C322" s="4063"/>
      <c r="D322" s="4063"/>
      <c r="E322" s="4063"/>
      <c r="F322" s="4063"/>
      <c r="G322" s="4063"/>
      <c r="H322" s="4063"/>
      <c r="I322" s="4063"/>
      <c r="J322" s="4063"/>
      <c r="K322" s="4063"/>
      <c r="L322" s="4063"/>
      <c r="M322" s="4063"/>
      <c r="N322" s="4063"/>
      <c r="O322" s="4063"/>
      <c r="P322" s="4063"/>
      <c r="Q322" s="4064"/>
      <c r="AA322" s="1788">
        <v>306</v>
      </c>
    </row>
    <row r="323" spans="1:27" ht="15" customHeight="1">
      <c r="B323" s="1400" t="s">
        <v>1452</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4086"/>
      <c r="B324" s="4195"/>
      <c r="C324" s="4195"/>
      <c r="D324" s="4195"/>
      <c r="E324" s="4195"/>
      <c r="F324" s="4195"/>
      <c r="G324" s="4195"/>
      <c r="H324" s="4195"/>
      <c r="I324" s="4195"/>
      <c r="J324" s="4195"/>
      <c r="K324" s="4195"/>
      <c r="L324" s="4195"/>
      <c r="M324" s="4195"/>
      <c r="N324" s="4195"/>
      <c r="O324" s="4195"/>
      <c r="P324" s="4195"/>
      <c r="Q324" s="4196"/>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1511</v>
      </c>
      <c r="K398" s="1745"/>
      <c r="L398" s="1745"/>
      <c r="M398" s="1745"/>
      <c r="N398" s="1745"/>
      <c r="O398" s="1745" t="s">
        <v>720</v>
      </c>
      <c r="P398" s="1745"/>
      <c r="Q398" s="1745"/>
      <c r="R398" s="1436"/>
      <c r="S398" s="1436"/>
    </row>
    <row r="399" spans="1:20" ht="20.25" customHeight="1">
      <c r="A399" s="1745"/>
      <c r="B399" s="1745"/>
      <c r="C399" s="1745" t="s">
        <v>720</v>
      </c>
      <c r="D399" s="1745"/>
      <c r="E399" s="1745"/>
      <c r="F399" s="1745"/>
      <c r="G399" s="1745"/>
      <c r="H399" s="1745"/>
      <c r="I399" s="1745"/>
      <c r="J399" s="1746" t="s">
        <v>1615</v>
      </c>
      <c r="K399" s="1745"/>
      <c r="L399" s="1745"/>
      <c r="M399" s="1745"/>
      <c r="N399" s="1747"/>
      <c r="O399" s="1746" t="s">
        <v>1616</v>
      </c>
      <c r="P399" s="1748"/>
      <c r="Q399" s="1745"/>
      <c r="R399" s="1436"/>
      <c r="S399" s="1436"/>
      <c r="T399" s="1436"/>
    </row>
    <row r="400" spans="1:20" ht="20.25" customHeight="1">
      <c r="A400" s="1745"/>
      <c r="B400" s="1745"/>
      <c r="C400" s="1746" t="s">
        <v>1617</v>
      </c>
      <c r="D400" s="1745"/>
      <c r="E400" s="1745"/>
      <c r="F400" s="1745"/>
      <c r="G400" s="1745"/>
      <c r="H400" s="1745"/>
      <c r="I400" s="1745"/>
      <c r="J400" s="1746" t="s">
        <v>1618</v>
      </c>
      <c r="K400" s="1745"/>
      <c r="L400" s="1745"/>
      <c r="M400" s="1745"/>
      <c r="N400" s="1747"/>
      <c r="O400" s="1746" t="s">
        <v>1619</v>
      </c>
      <c r="P400" s="1748"/>
      <c r="Q400" s="1745"/>
      <c r="R400" s="1436"/>
      <c r="S400" s="1436"/>
      <c r="T400" s="1436"/>
    </row>
    <row r="401" spans="1:20" ht="20.25" customHeight="1">
      <c r="A401" s="1745"/>
      <c r="B401" s="1745"/>
      <c r="C401" s="1746" t="s">
        <v>1620</v>
      </c>
      <c r="D401" s="1745"/>
      <c r="E401" s="1745"/>
      <c r="F401" s="1745"/>
      <c r="G401" s="1745"/>
      <c r="H401" s="1745"/>
      <c r="I401" s="1745"/>
      <c r="J401" s="1746" t="s">
        <v>1621</v>
      </c>
      <c r="K401" s="1745"/>
      <c r="L401" s="1745"/>
      <c r="M401" s="1745"/>
      <c r="N401" s="1747"/>
      <c r="O401" s="1746" t="s">
        <v>1622</v>
      </c>
      <c r="P401" s="1748"/>
      <c r="Q401" s="1745"/>
      <c r="R401" s="1436"/>
      <c r="S401" s="1436"/>
      <c r="T401" s="1436"/>
    </row>
    <row r="402" spans="1:20" ht="20.25" customHeight="1">
      <c r="A402" s="1745"/>
      <c r="B402" s="1745"/>
      <c r="C402" s="1746" t="s">
        <v>1623</v>
      </c>
      <c r="D402" s="1745"/>
      <c r="E402" s="1745"/>
      <c r="F402" s="1745"/>
      <c r="G402" s="1745"/>
      <c r="H402" s="1745"/>
      <c r="I402" s="1745"/>
      <c r="J402" s="1746" t="s">
        <v>1624</v>
      </c>
      <c r="K402" s="1745"/>
      <c r="L402" s="1745"/>
      <c r="M402" s="1745"/>
      <c r="N402" s="1747"/>
      <c r="O402" s="1746" t="s">
        <v>1625</v>
      </c>
      <c r="P402" s="1748"/>
      <c r="Q402" s="1745"/>
      <c r="R402" s="1436"/>
      <c r="S402" s="1436"/>
      <c r="T402" s="1436"/>
    </row>
    <row r="403" spans="1:20" ht="20.25" customHeight="1">
      <c r="A403" s="1745"/>
      <c r="B403" s="1745"/>
      <c r="C403" s="1746" t="s">
        <v>1626</v>
      </c>
      <c r="D403" s="1745"/>
      <c r="E403" s="1745"/>
      <c r="F403" s="1745"/>
      <c r="G403" s="1745"/>
      <c r="H403" s="1745"/>
      <c r="I403" s="1745"/>
      <c r="J403" s="1746" t="s">
        <v>1627</v>
      </c>
      <c r="K403" s="1745"/>
      <c r="L403" s="1745"/>
      <c r="M403" s="1745"/>
      <c r="N403" s="1747"/>
      <c r="O403" s="1746" t="s">
        <v>1628</v>
      </c>
      <c r="P403" s="1748"/>
      <c r="Q403" s="1745"/>
      <c r="R403" s="1436"/>
      <c r="S403" s="1436"/>
      <c r="T403" s="1436"/>
    </row>
    <row r="404" spans="1:20" ht="20.25" customHeight="1">
      <c r="A404" s="1745"/>
      <c r="B404" s="1745"/>
      <c r="C404" s="1746" t="s">
        <v>1629</v>
      </c>
      <c r="D404" s="1745"/>
      <c r="E404" s="1745"/>
      <c r="F404" s="1745"/>
      <c r="G404" s="1745"/>
      <c r="H404" s="1745"/>
      <c r="I404" s="1745"/>
      <c r="J404" s="1746" t="s">
        <v>1630</v>
      </c>
      <c r="K404" s="1745"/>
      <c r="L404" s="1745"/>
      <c r="M404" s="1745"/>
      <c r="N404" s="1747"/>
      <c r="O404" s="1746" t="s">
        <v>1631</v>
      </c>
      <c r="P404" s="1748"/>
      <c r="Q404" s="1745"/>
      <c r="R404" s="1436"/>
      <c r="S404" s="1436"/>
      <c r="T404" s="1436"/>
    </row>
    <row r="405" spans="1:20" ht="20.25" customHeight="1">
      <c r="A405" s="1745"/>
      <c r="B405" s="1745"/>
      <c r="C405" s="1746" t="s">
        <v>1632</v>
      </c>
      <c r="D405" s="1745"/>
      <c r="E405" s="1745"/>
      <c r="F405" s="1745"/>
      <c r="G405" s="1745"/>
      <c r="H405" s="1745"/>
      <c r="I405" s="1745"/>
      <c r="J405" s="1746" t="s">
        <v>1633</v>
      </c>
      <c r="K405" s="1745"/>
      <c r="L405" s="1745"/>
      <c r="M405" s="1745"/>
      <c r="N405" s="1747"/>
      <c r="O405" s="1746" t="s">
        <v>1634</v>
      </c>
      <c r="P405" s="1748"/>
      <c r="Q405" s="1745"/>
      <c r="R405" s="1436"/>
      <c r="S405" s="1436"/>
      <c r="T405" s="1436"/>
    </row>
    <row r="406" spans="1:20" ht="20.25" customHeight="1">
      <c r="A406" s="1745"/>
      <c r="B406" s="1745"/>
      <c r="C406" s="1746" t="s">
        <v>1635</v>
      </c>
      <c r="D406" s="1745"/>
      <c r="E406" s="1745"/>
      <c r="F406" s="1745"/>
      <c r="G406" s="1745"/>
      <c r="H406" s="1745"/>
      <c r="I406" s="1745"/>
      <c r="J406" s="1746" t="s">
        <v>1636</v>
      </c>
      <c r="K406" s="1745"/>
      <c r="L406" s="1745"/>
      <c r="M406" s="1745"/>
      <c r="N406" s="1747"/>
      <c r="O406" s="1745" t="s">
        <v>1637</v>
      </c>
      <c r="P406" s="1748"/>
      <c r="Q406" s="1745"/>
      <c r="R406" s="1436"/>
      <c r="S406" s="1436"/>
      <c r="T406" s="1436"/>
    </row>
    <row r="407" spans="1:20" ht="20.25" customHeight="1">
      <c r="A407" s="1745"/>
      <c r="B407" s="1745"/>
      <c r="C407" s="1746" t="s">
        <v>1638</v>
      </c>
      <c r="D407" s="1745"/>
      <c r="E407" s="1745"/>
      <c r="F407" s="1745"/>
      <c r="G407" s="1745"/>
      <c r="H407" s="1745"/>
      <c r="I407" s="1745"/>
      <c r="J407" s="1746" t="s">
        <v>1639</v>
      </c>
      <c r="K407" s="1745"/>
      <c r="L407" s="1745"/>
      <c r="M407" s="1745"/>
      <c r="N407" s="1747"/>
      <c r="O407" s="1745" t="s">
        <v>1640</v>
      </c>
      <c r="P407" s="1748"/>
      <c r="Q407" s="1745"/>
      <c r="R407" s="1436"/>
      <c r="S407" s="1436"/>
      <c r="T407" s="1436"/>
    </row>
    <row r="408" spans="1:20" ht="20.25" customHeight="1">
      <c r="A408" s="1745"/>
      <c r="B408" s="1745"/>
      <c r="C408" s="1746" t="s">
        <v>1641</v>
      </c>
      <c r="D408" s="1745"/>
      <c r="E408" s="1745"/>
      <c r="F408" s="1745"/>
      <c r="G408" s="1745"/>
      <c r="H408" s="1745"/>
      <c r="I408" s="1745"/>
      <c r="J408" s="1746" t="s">
        <v>1642</v>
      </c>
      <c r="K408" s="1745"/>
      <c r="L408" s="1745"/>
      <c r="M408" s="1745"/>
      <c r="N408" s="1747"/>
      <c r="O408" s="1746"/>
      <c r="P408" s="1748"/>
      <c r="Q408" s="1745"/>
      <c r="R408" s="1436"/>
      <c r="S408" s="1436"/>
      <c r="T408" s="1436"/>
    </row>
    <row r="409" spans="1:20" ht="20.25" customHeight="1">
      <c r="A409" s="1745"/>
      <c r="B409" s="1745"/>
      <c r="C409" s="1746" t="s">
        <v>1643</v>
      </c>
      <c r="D409" s="1745"/>
      <c r="E409" s="1745"/>
      <c r="F409" s="1745"/>
      <c r="G409" s="1745"/>
      <c r="H409" s="1745"/>
      <c r="I409" s="1745"/>
      <c r="J409" s="1746" t="s">
        <v>1644</v>
      </c>
      <c r="K409" s="1745"/>
      <c r="L409" s="1745"/>
      <c r="M409" s="1745"/>
      <c r="N409" s="1747"/>
      <c r="O409" s="1745" t="s">
        <v>720</v>
      </c>
      <c r="P409" s="1748"/>
      <c r="Q409" s="1745"/>
      <c r="R409" s="1436"/>
      <c r="S409" s="1436"/>
      <c r="T409" s="1436"/>
    </row>
    <row r="410" spans="1:20" ht="20.25" customHeight="1">
      <c r="A410" s="1745"/>
      <c r="B410" s="1745"/>
      <c r="C410" s="1746" t="s">
        <v>1645</v>
      </c>
      <c r="D410" s="1745"/>
      <c r="E410" s="1745"/>
      <c r="F410" s="1745"/>
      <c r="G410" s="1745"/>
      <c r="H410" s="1745"/>
      <c r="I410" s="1745"/>
      <c r="J410" s="1746" t="s">
        <v>1646</v>
      </c>
      <c r="K410" s="1745"/>
      <c r="L410" s="1745"/>
      <c r="M410" s="1745"/>
      <c r="N410" s="1747"/>
      <c r="O410" s="1746" t="s">
        <v>1647</v>
      </c>
      <c r="P410" s="1748"/>
      <c r="Q410" s="1745"/>
      <c r="R410" s="1436"/>
      <c r="S410" s="1436"/>
      <c r="T410" s="1436"/>
    </row>
    <row r="411" spans="1:20" ht="20.25" customHeight="1">
      <c r="A411" s="1745"/>
      <c r="B411" s="1745"/>
      <c r="C411" s="1746" t="s">
        <v>1648</v>
      </c>
      <c r="D411" s="1745"/>
      <c r="E411" s="1745"/>
      <c r="F411" s="1745"/>
      <c r="G411" s="1745"/>
      <c r="H411" s="1745"/>
      <c r="I411" s="1745"/>
      <c r="J411" s="1745"/>
      <c r="K411" s="1745"/>
      <c r="L411" s="1745"/>
      <c r="M411" s="1745"/>
      <c r="N411" s="1747"/>
      <c r="O411" s="1746" t="s">
        <v>1649</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1650</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1651</v>
      </c>
      <c r="P413" s="1745"/>
      <c r="Q413" s="1745"/>
      <c r="R413" s="1436"/>
      <c r="S413" s="1436"/>
      <c r="T413" s="1436"/>
    </row>
    <row r="414" spans="1:20" ht="20.25" customHeight="1">
      <c r="A414" s="1745"/>
      <c r="B414" s="1745"/>
      <c r="C414" s="1749" t="s">
        <v>1652</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1653</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1654</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1655</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1656</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1657</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1658</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1659</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1660</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1661</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1662</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1658</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1663</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1664</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1665</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1666</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1667</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1668</v>
      </c>
      <c r="D431" s="1745"/>
      <c r="E431" s="1745"/>
      <c r="F431" s="1745"/>
      <c r="G431" s="1745"/>
      <c r="H431" s="1745"/>
      <c r="I431" s="1745"/>
      <c r="J431" s="1745"/>
      <c r="K431" s="1749" t="s">
        <v>1669</v>
      </c>
      <c r="L431" s="1746"/>
      <c r="M431" s="1745"/>
      <c r="N431" s="1745"/>
      <c r="O431" s="1745"/>
      <c r="P431" s="1745"/>
      <c r="Q431" s="1745"/>
      <c r="R431" s="1436"/>
      <c r="S431" s="1436"/>
      <c r="T431" s="1436"/>
    </row>
    <row r="432" spans="1:20" ht="20.25" customHeight="1">
      <c r="A432" s="1745"/>
      <c r="B432" s="1745"/>
      <c r="C432" s="1745" t="s">
        <v>1670</v>
      </c>
      <c r="D432" s="1745"/>
      <c r="E432" s="1745"/>
      <c r="F432" s="1745"/>
      <c r="G432" s="1745"/>
      <c r="H432" s="1745"/>
      <c r="I432" s="1745"/>
      <c r="J432" s="1745"/>
      <c r="K432" s="1745" t="s">
        <v>1555</v>
      </c>
      <c r="L432" s="1746"/>
      <c r="M432" s="1745"/>
      <c r="N432" s="1745"/>
      <c r="O432" s="1745"/>
      <c r="P432" s="1745"/>
      <c r="Q432" s="1745"/>
      <c r="R432" s="1436"/>
      <c r="S432" s="1436"/>
      <c r="T432" s="1436"/>
    </row>
    <row r="433" spans="1:28" ht="20.25" customHeight="1">
      <c r="A433" s="1745"/>
      <c r="B433" s="1745"/>
      <c r="C433" s="1745" t="s">
        <v>1671</v>
      </c>
      <c r="D433" s="1745"/>
      <c r="E433" s="1745"/>
      <c r="F433" s="1745"/>
      <c r="G433" s="1745"/>
      <c r="H433" s="1745"/>
      <c r="I433" s="1745"/>
      <c r="J433" s="1745"/>
      <c r="K433" s="1745" t="s">
        <v>1672</v>
      </c>
      <c r="L433" s="1745"/>
      <c r="M433" s="1745"/>
      <c r="N433" s="1745"/>
      <c r="O433" s="1745"/>
      <c r="P433" s="1745"/>
      <c r="Q433" s="1745"/>
      <c r="R433" s="1436"/>
      <c r="S433" s="1436"/>
      <c r="T433" s="1436"/>
    </row>
    <row r="434" spans="1:28" ht="20.25" customHeight="1">
      <c r="A434" s="1745"/>
      <c r="B434" s="1745"/>
      <c r="C434" s="1746" t="s">
        <v>1673</v>
      </c>
      <c r="D434" s="1745"/>
      <c r="E434" s="1745"/>
      <c r="F434" s="1745"/>
      <c r="G434" s="1745"/>
      <c r="H434" s="1745"/>
      <c r="I434" s="1745"/>
      <c r="J434" s="1745"/>
      <c r="K434" s="1745" t="s">
        <v>1674</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1675</v>
      </c>
      <c r="D436" s="1745"/>
      <c r="E436" s="1745"/>
      <c r="F436" s="1745"/>
      <c r="G436" s="1745"/>
      <c r="H436" s="1745"/>
      <c r="I436" s="1745"/>
      <c r="J436" s="1745"/>
      <c r="K436" s="1749" t="s">
        <v>1676</v>
      </c>
      <c r="L436" s="1745"/>
      <c r="M436" s="1745"/>
      <c r="N436" s="1745"/>
      <c r="O436" s="1745"/>
      <c r="P436" s="1745"/>
      <c r="Q436" s="1745"/>
      <c r="R436" s="1436"/>
      <c r="S436" s="1436"/>
      <c r="T436" s="1436"/>
    </row>
    <row r="437" spans="1:28" ht="20.25" customHeight="1">
      <c r="A437" s="1745"/>
      <c r="B437" s="1745"/>
      <c r="C437" s="1745" t="s">
        <v>1677</v>
      </c>
      <c r="D437" s="1745"/>
      <c r="E437" s="1745"/>
      <c r="F437" s="1745"/>
      <c r="G437" s="1745"/>
      <c r="H437" s="1745"/>
      <c r="I437" s="1745"/>
      <c r="J437" s="1745"/>
      <c r="K437" s="1745" t="s">
        <v>1553</v>
      </c>
      <c r="L437" s="1745"/>
      <c r="M437" s="1745"/>
      <c r="N437" s="1745"/>
      <c r="O437" s="1745"/>
      <c r="P437" s="1745"/>
      <c r="Q437" s="1745"/>
      <c r="R437" s="1436"/>
      <c r="S437" s="1436"/>
      <c r="T437" s="1436"/>
    </row>
    <row r="438" spans="1:28" ht="20.25" customHeight="1">
      <c r="A438" s="1745"/>
      <c r="B438" s="1745"/>
      <c r="C438" s="1745" t="s">
        <v>1678</v>
      </c>
      <c r="D438" s="1745"/>
      <c r="E438" s="1745"/>
      <c r="F438" s="1745"/>
      <c r="G438" s="1745"/>
      <c r="H438" s="1745"/>
      <c r="I438" s="1745"/>
      <c r="J438" s="1745"/>
      <c r="K438" s="1745" t="s">
        <v>1679</v>
      </c>
      <c r="L438" s="1745"/>
      <c r="M438" s="1745"/>
      <c r="N438" s="1745"/>
      <c r="O438" s="1745"/>
      <c r="P438" s="1745"/>
      <c r="Q438" s="1745"/>
      <c r="R438" s="1436"/>
      <c r="S438" s="1436"/>
      <c r="T438" s="1436"/>
    </row>
    <row r="439" spans="1:28" ht="20.25" customHeight="1">
      <c r="A439" s="1745"/>
      <c r="B439" s="1745"/>
      <c r="C439" s="1745" t="s">
        <v>1680</v>
      </c>
      <c r="D439" s="1745"/>
      <c r="E439" s="1745"/>
      <c r="F439" s="1745"/>
      <c r="G439" s="1745"/>
      <c r="H439" s="1745"/>
      <c r="I439" s="1745"/>
      <c r="J439" s="1745"/>
      <c r="K439" s="1745" t="s">
        <v>1681</v>
      </c>
      <c r="L439" s="1745"/>
      <c r="M439" s="1745"/>
      <c r="N439" s="1745"/>
      <c r="O439" s="1745"/>
      <c r="P439" s="1745"/>
      <c r="Q439" s="1745"/>
      <c r="R439" s="1436"/>
      <c r="S439" s="1436"/>
      <c r="T439" s="1436"/>
    </row>
    <row r="440" spans="1:28" ht="20.25" customHeight="1">
      <c r="A440" s="1745"/>
      <c r="B440" s="1745"/>
      <c r="C440" s="1745" t="s">
        <v>1682</v>
      </c>
      <c r="D440" s="1745"/>
      <c r="E440" s="1745"/>
      <c r="F440" s="1745"/>
      <c r="G440" s="1745"/>
      <c r="H440" s="1745"/>
      <c r="I440" s="1745"/>
      <c r="J440" s="1745"/>
      <c r="K440" s="1745" t="s">
        <v>1683</v>
      </c>
      <c r="L440" s="1745"/>
      <c r="M440" s="1745"/>
      <c r="N440" s="1745"/>
      <c r="O440" s="1745"/>
      <c r="P440" s="1745"/>
      <c r="Q440" s="1745"/>
      <c r="R440" s="1436"/>
      <c r="S440" s="1436"/>
      <c r="T440" s="1436"/>
    </row>
    <row r="441" spans="1:28" ht="20.25" customHeight="1">
      <c r="A441" s="1745"/>
      <c r="B441" s="1745"/>
      <c r="C441" s="1745" t="s">
        <v>1684</v>
      </c>
      <c r="D441" s="1745"/>
      <c r="E441" s="1745"/>
      <c r="F441" s="1745"/>
      <c r="G441" s="1745"/>
      <c r="H441" s="1745"/>
      <c r="I441" s="1745"/>
      <c r="J441" s="1745"/>
      <c r="K441" s="1745" t="s">
        <v>1685</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1686</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1687</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1688</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1689</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1690</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1691</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1692</v>
      </c>
      <c r="D449" s="1745"/>
      <c r="E449" s="1745"/>
      <c r="F449" s="1745"/>
      <c r="G449" s="1745"/>
      <c r="H449" s="1745"/>
      <c r="I449" s="1745"/>
      <c r="J449" s="1745"/>
      <c r="K449" s="1745"/>
      <c r="L449" s="1745"/>
      <c r="M449" s="1749" t="s">
        <v>1693</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1511</v>
      </c>
      <c r="D450" s="1745"/>
      <c r="E450" s="1745"/>
      <c r="F450" s="1745"/>
      <c r="G450" s="1745"/>
      <c r="H450" s="1745"/>
      <c r="I450" s="1745"/>
      <c r="J450" s="1745"/>
      <c r="K450" s="1745"/>
      <c r="L450" s="1745"/>
      <c r="M450" s="1745" t="s">
        <v>1511</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1694</v>
      </c>
      <c r="D451" s="1745"/>
      <c r="E451" s="1745"/>
      <c r="F451" s="1745"/>
      <c r="G451" s="1745"/>
      <c r="H451" s="1745"/>
      <c r="I451" s="1745"/>
      <c r="J451" s="1745"/>
      <c r="K451" s="1745"/>
      <c r="L451" s="1745"/>
      <c r="M451" s="1745" t="s">
        <v>1695</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1696</v>
      </c>
      <c r="D452" s="1745"/>
      <c r="E452" s="1745"/>
      <c r="F452" s="1745"/>
      <c r="G452" s="1745"/>
      <c r="H452" s="1745"/>
      <c r="I452" s="1745"/>
      <c r="J452" s="1745"/>
      <c r="K452" s="1745"/>
      <c r="L452" s="1745"/>
      <c r="M452" s="1745" t="s">
        <v>1697</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1698</v>
      </c>
      <c r="D453" s="1745"/>
      <c r="E453" s="1745"/>
      <c r="F453" s="1745"/>
      <c r="G453" s="1745"/>
      <c r="H453" s="1745"/>
      <c r="I453" s="1745"/>
      <c r="J453" s="1745"/>
      <c r="K453" s="1745"/>
      <c r="L453" s="1745"/>
      <c r="M453" s="1745" t="s">
        <v>1699</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1700</v>
      </c>
      <c r="D454" s="1745"/>
      <c r="E454" s="1745"/>
      <c r="F454" s="1745"/>
      <c r="G454" s="1745"/>
      <c r="H454" s="1745"/>
      <c r="I454" s="1745"/>
      <c r="J454" s="1745"/>
      <c r="K454" s="1745"/>
      <c r="L454" s="1745"/>
      <c r="M454" s="1745" t="s">
        <v>1701</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1702</v>
      </c>
      <c r="D455" s="1745"/>
      <c r="E455" s="1745"/>
      <c r="F455" s="1745"/>
      <c r="G455" s="1745"/>
      <c r="H455" s="1745"/>
      <c r="I455" s="1745"/>
      <c r="J455" s="1745"/>
      <c r="K455" s="1745"/>
      <c r="L455" s="1745"/>
      <c r="M455" s="1745" t="s">
        <v>1703</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1704</v>
      </c>
      <c r="D456" s="1745"/>
      <c r="E456" s="1745"/>
      <c r="F456" s="1745"/>
      <c r="G456" s="1745"/>
      <c r="H456" s="1745"/>
      <c r="I456" s="1745"/>
      <c r="J456" s="1745"/>
      <c r="K456" s="1745"/>
      <c r="L456" s="1745"/>
      <c r="M456" s="1745" t="s">
        <v>1705</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1706</v>
      </c>
      <c r="D457" s="1745"/>
      <c r="E457" s="1745"/>
      <c r="F457" s="1745"/>
      <c r="G457" s="1745"/>
      <c r="H457" s="1745"/>
      <c r="I457" s="1745"/>
      <c r="J457" s="1745"/>
      <c r="K457" s="1745"/>
      <c r="L457" s="1745"/>
      <c r="M457" s="1745" t="s">
        <v>1707</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1646</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1708</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1526</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1527</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1709</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1710</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1711</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1712</v>
      </c>
      <c r="E466" s="1745"/>
      <c r="F466" s="1745"/>
      <c r="G466" s="1745"/>
      <c r="H466" s="1745"/>
      <c r="I466" s="1745"/>
      <c r="J466" s="1745"/>
      <c r="K466" s="1745"/>
      <c r="L466" s="1745"/>
      <c r="M466" s="1745" t="s">
        <v>1713</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1714</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1715</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1716</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1717</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1718</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1719</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1720</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43:Q243"/>
    <mergeCell ref="P246:Q246"/>
    <mergeCell ref="B247:F247"/>
    <mergeCell ref="B248:F248"/>
    <mergeCell ref="G235:O235"/>
    <mergeCell ref="C236:F236"/>
    <mergeCell ref="G236:O236"/>
    <mergeCell ref="B237:O237"/>
    <mergeCell ref="B239:O239"/>
    <mergeCell ref="A241:Q241"/>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B175:O175"/>
    <mergeCell ref="P175:Q175"/>
    <mergeCell ref="A178:Q178"/>
    <mergeCell ref="A180:Q180"/>
    <mergeCell ref="P183:Q183"/>
    <mergeCell ref="A161:Q161"/>
    <mergeCell ref="A163:Q163"/>
    <mergeCell ref="P166:Q166"/>
    <mergeCell ref="A168:Q168"/>
    <mergeCell ref="A170:Q170"/>
    <mergeCell ref="P173:Q173"/>
    <mergeCell ref="L176:Q176"/>
    <mergeCell ref="A151:Q151"/>
    <mergeCell ref="A153:Q153"/>
    <mergeCell ref="P156:Q156"/>
    <mergeCell ref="P157:Q157"/>
    <mergeCell ref="C147:H147"/>
    <mergeCell ref="J147:Q147"/>
    <mergeCell ref="C148:H148"/>
    <mergeCell ref="J148:Q148"/>
    <mergeCell ref="C149:H149"/>
    <mergeCell ref="J149:Q149"/>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25:Q125"/>
    <mergeCell ref="P128:Q128"/>
    <mergeCell ref="B112:D112"/>
    <mergeCell ref="P112:Q112"/>
    <mergeCell ref="A114:Q114"/>
    <mergeCell ref="A116:Q116"/>
    <mergeCell ref="P119:Q119"/>
    <mergeCell ref="M141:Q141"/>
    <mergeCell ref="M130:Q130"/>
    <mergeCell ref="M129:Q129"/>
    <mergeCell ref="M121:Q121"/>
    <mergeCell ref="M120:Q120"/>
    <mergeCell ref="B88:Q88"/>
    <mergeCell ref="B89:Q89"/>
    <mergeCell ref="A91:Q91"/>
    <mergeCell ref="A93:Q93"/>
    <mergeCell ref="P96:Q96"/>
    <mergeCell ref="L97:N97"/>
    <mergeCell ref="O97:Q97"/>
    <mergeCell ref="L98:Q98"/>
    <mergeCell ref="A123:Q123"/>
    <mergeCell ref="P59:Q59"/>
    <mergeCell ref="B44:O44"/>
    <mergeCell ref="P44:Q44"/>
    <mergeCell ref="A46:Q46"/>
    <mergeCell ref="A48:Q48"/>
    <mergeCell ref="P51:Q51"/>
    <mergeCell ref="P52:Q52"/>
    <mergeCell ref="A54:Q54"/>
    <mergeCell ref="A56:Q56"/>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A17:Q17"/>
    <mergeCell ref="A18:Q18"/>
    <mergeCell ref="A19:Q19"/>
    <mergeCell ref="A20:Q20"/>
    <mergeCell ref="A7:Q7"/>
    <mergeCell ref="P9:Q9"/>
    <mergeCell ref="A11:Q11"/>
    <mergeCell ref="A12:Q12"/>
    <mergeCell ref="A13:Q13"/>
    <mergeCell ref="A14:Q14"/>
    <mergeCell ref="A1:Q1"/>
    <mergeCell ref="A3:G3"/>
    <mergeCell ref="H3:N3"/>
    <mergeCell ref="P3:P5"/>
    <mergeCell ref="Q3:Q5"/>
    <mergeCell ref="B4:D4"/>
    <mergeCell ref="E5:I5"/>
    <mergeCell ref="A15:Q15"/>
    <mergeCell ref="A16:Q16"/>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8"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tabSelected="1" topLeftCell="A344" zoomScaleNormal="100" workbookViewId="0">
      <selection activeCell="A369" sqref="A369"/>
    </sheetView>
  </sheetViews>
  <sheetFormatPr defaultColWidth="9.140625" defaultRowHeight="15" customHeight="1"/>
  <cols>
    <col min="1" max="1" width="6" style="1514" customWidth="1"/>
    <col min="2" max="2" width="4.5703125" style="1514" customWidth="1"/>
    <col min="3" max="3" width="12.42578125" style="1514" customWidth="1"/>
    <col min="4" max="4" width="14.140625" style="1514" customWidth="1"/>
    <col min="5" max="5" width="11.85546875" style="1514" customWidth="1"/>
    <col min="6" max="6" width="7.42578125" style="1514" customWidth="1"/>
    <col min="7" max="7" width="2.5703125" style="1514" customWidth="1"/>
    <col min="8" max="8" width="3" style="1514" customWidth="1"/>
    <col min="9" max="9" width="2.85546875" style="1514" customWidth="1"/>
    <col min="10" max="10" width="3" style="1514" customWidth="1"/>
    <col min="11" max="11" width="3.140625" style="1514" customWidth="1"/>
    <col min="12" max="19" width="2.85546875" style="1514" customWidth="1"/>
    <col min="20" max="20" width="13.5703125" style="1514" customWidth="1"/>
    <col min="21" max="21" width="6" style="1514" customWidth="1"/>
    <col min="22" max="22" width="5.85546875" style="1514" customWidth="1"/>
    <col min="23" max="23" width="5.5703125" style="1514" customWidth="1"/>
    <col min="24" max="24" width="13.85546875" style="1514" customWidth="1"/>
    <col min="25" max="25" width="7.42578125" style="1514" customWidth="1"/>
    <col min="26" max="26" width="6.140625" style="1531" customWidth="1"/>
    <col min="27" max="28" width="8.85546875" style="1524" customWidth="1"/>
    <col min="29" max="29" width="5.85546875" style="1514" customWidth="1"/>
    <col min="30" max="30" width="11.85546875" style="1514" customWidth="1"/>
    <col min="31" max="31" width="11" style="1514" customWidth="1"/>
    <col min="32" max="32" width="8" style="1514" customWidth="1"/>
    <col min="33" max="33" width="3.85546875" style="1514" customWidth="1"/>
    <col min="34" max="34" width="11.140625" style="1514" customWidth="1"/>
    <col min="35" max="35" width="10.85546875" style="1514" customWidth="1"/>
    <col min="36" max="36" width="8.5703125" style="1514" customWidth="1"/>
    <col min="37" max="37" width="11.85546875" style="1514" customWidth="1"/>
    <col min="38" max="38" width="9.42578125" style="1514" customWidth="1"/>
    <col min="39" max="39" width="8.85546875" style="1514" customWidth="1"/>
    <col min="40" max="42" width="2.85546875" style="1514" customWidth="1"/>
    <col min="43" max="44" width="10.42578125" style="1514" customWidth="1"/>
    <col min="45" max="50" width="9.140625" style="1514"/>
    <col min="51" max="51" width="9.140625" style="1792"/>
    <col min="52" max="54" width="9.140625" style="1514"/>
    <col min="55" max="59" width="10.42578125" style="1514" customWidth="1"/>
    <col min="60" max="16384" width="9.140625" style="1514"/>
  </cols>
  <sheetData>
    <row r="1" spans="1:51" ht="14.1" customHeight="1">
      <c r="A1" s="3052" t="str">
        <f>CONCATENATE("PART EIGHT - SCORING CRITERIA","  -  ",'Part I-Project Identification'!$O$7," ",'Part I-Project Identification'!$F$27,", ",'Part I-Project Identification'!F28,", ",'Part I-Project Identification'!J28," County")</f>
        <v>PART EIGHT - SCORING CRITERIA  -  2026-0xx Westchester Village II, Jonesboro, Clayton County</v>
      </c>
      <c r="B1" s="3053"/>
      <c r="C1" s="3053"/>
      <c r="D1" s="3053"/>
      <c r="E1" s="3053"/>
      <c r="F1" s="3053"/>
      <c r="G1" s="3053"/>
      <c r="H1" s="3053"/>
      <c r="I1" s="3053"/>
      <c r="J1" s="3053"/>
      <c r="K1" s="3053"/>
      <c r="L1" s="3053"/>
      <c r="M1" s="3053"/>
      <c r="N1" s="3053"/>
      <c r="O1" s="3053"/>
      <c r="P1" s="3053"/>
      <c r="Q1" s="3053"/>
      <c r="R1" s="3053"/>
      <c r="S1" s="3053"/>
      <c r="T1" s="3053"/>
      <c r="U1" s="3053"/>
      <c r="V1" s="3053"/>
      <c r="W1" s="3053"/>
      <c r="X1" s="3053"/>
      <c r="Y1" s="3053"/>
      <c r="Z1" s="3053"/>
      <c r="AA1" s="3053"/>
      <c r="AB1" s="3054"/>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45" customHeight="1">
      <c r="A3" s="3055" t="s">
        <v>1721</v>
      </c>
      <c r="B3" s="3055"/>
      <c r="C3" s="3055"/>
      <c r="D3" s="3055"/>
      <c r="E3" s="3055"/>
      <c r="F3" s="3055"/>
      <c r="G3" s="3055"/>
      <c r="H3" s="3055"/>
      <c r="I3" s="3055"/>
      <c r="J3" s="3055"/>
      <c r="K3" s="3055"/>
      <c r="L3" s="3055"/>
      <c r="M3" s="3055"/>
      <c r="N3" s="3055"/>
      <c r="O3" s="3055"/>
      <c r="P3" s="3055"/>
      <c r="Q3" s="3055"/>
      <c r="R3" s="3055"/>
      <c r="S3" s="3055"/>
      <c r="T3" s="3055"/>
      <c r="U3" s="3055"/>
      <c r="V3" s="3055"/>
      <c r="W3" s="3055"/>
      <c r="X3" s="3055"/>
      <c r="Y3" s="2775" t="s">
        <v>1722</v>
      </c>
      <c r="Z3" s="2557"/>
      <c r="AA3" s="2776" t="s">
        <v>1723</v>
      </c>
      <c r="AB3" s="2775" t="s">
        <v>1724</v>
      </c>
      <c r="AC3" s="1512"/>
      <c r="AD3" s="1512"/>
      <c r="AE3" s="1512"/>
      <c r="AF3" s="1512"/>
      <c r="AG3" s="1512"/>
      <c r="AH3" s="1518"/>
      <c r="AI3" s="1518"/>
      <c r="AJ3" s="1519"/>
      <c r="AY3" s="1791">
        <v>3</v>
      </c>
    </row>
    <row r="4" spans="1:51" s="1515" customFormat="1" ht="16.5" customHeight="1">
      <c r="A4" s="3055"/>
      <c r="B4" s="3055"/>
      <c r="C4" s="3055"/>
      <c r="D4" s="3055"/>
      <c r="E4" s="3055"/>
      <c r="F4" s="3055"/>
      <c r="G4" s="3055"/>
      <c r="H4" s="3055"/>
      <c r="I4" s="3055"/>
      <c r="J4" s="3055"/>
      <c r="K4" s="3055"/>
      <c r="L4" s="3055"/>
      <c r="M4" s="3055"/>
      <c r="N4" s="3055"/>
      <c r="O4" s="3055"/>
      <c r="P4" s="3055"/>
      <c r="Q4" s="3055"/>
      <c r="R4" s="3055"/>
      <c r="S4" s="3055"/>
      <c r="T4" s="3055"/>
      <c r="U4" s="3055"/>
      <c r="V4" s="3055"/>
      <c r="W4" s="3055"/>
      <c r="X4" s="3055"/>
      <c r="Y4" s="1520" t="s">
        <v>1725</v>
      </c>
      <c r="Z4" s="1521"/>
      <c r="AA4" s="1520" t="s">
        <v>1725</v>
      </c>
      <c r="AB4" s="1520" t="s">
        <v>1725</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3056" t="str">
        <f>'Part I-Project Identification'!$A$6</f>
        <v>May XX, 2026</v>
      </c>
      <c r="C6" s="3057"/>
      <c r="D6" s="3057"/>
      <c r="E6" s="3057"/>
      <c r="F6" s="3057"/>
      <c r="G6" s="3057"/>
      <c r="X6" s="1517" t="s">
        <v>1726</v>
      </c>
      <c r="Y6" s="1525"/>
      <c r="Z6" s="1526"/>
      <c r="AA6" s="1527">
        <f>AA374</f>
        <v>81.5</v>
      </c>
      <c r="AB6" s="1527">
        <f>AB374</f>
        <v>12</v>
      </c>
      <c r="AC6" s="3010" t="s">
        <v>1727</v>
      </c>
      <c r="AD6" s="3011"/>
      <c r="AE6" s="3011"/>
      <c r="AF6" s="3011"/>
      <c r="AG6" s="3011"/>
      <c r="AH6" s="3011"/>
      <c r="AI6" s="3011"/>
      <c r="AJ6" s="3011"/>
      <c r="AK6" s="3011"/>
      <c r="AL6" s="3011"/>
      <c r="AM6" s="3011"/>
      <c r="AN6" s="3011"/>
      <c r="AO6" s="3011"/>
      <c r="AP6" s="3011"/>
      <c r="AQ6" s="3011"/>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c r="A8" s="1534" t="s">
        <v>25</v>
      </c>
      <c r="B8" s="1535" t="s">
        <v>1728</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3060" t="str">
        <f>IF(OR((D12-C12&gt;0),(E12-C12&gt;0)),"Points Exceed Max!","")</f>
        <v/>
      </c>
      <c r="B10" s="3060"/>
      <c r="C10" s="3074" t="s">
        <v>1729</v>
      </c>
      <c r="D10" s="3074"/>
      <c r="E10" s="3074"/>
      <c r="F10" s="1531"/>
      <c r="G10" s="2406"/>
      <c r="H10" s="2406"/>
      <c r="I10" s="2406"/>
      <c r="J10" s="2406"/>
      <c r="K10" s="2406"/>
      <c r="L10" s="2406"/>
      <c r="AB10" s="1523"/>
      <c r="AC10" s="1536"/>
      <c r="AY10" s="1790">
        <v>10</v>
      </c>
    </row>
    <row r="11" spans="1:51" ht="20.25" customHeight="1">
      <c r="A11" s="3060"/>
      <c r="B11" s="3060"/>
      <c r="C11" s="1752" t="s">
        <v>1722</v>
      </c>
      <c r="D11" s="1537" t="s">
        <v>1730</v>
      </c>
      <c r="E11" s="1538" t="s">
        <v>1724</v>
      </c>
      <c r="G11" s="3085" t="s">
        <v>1731</v>
      </c>
      <c r="H11" s="3085"/>
      <c r="I11" s="3085"/>
      <c r="J11" s="3085"/>
      <c r="K11" s="3085"/>
      <c r="L11" s="3086"/>
      <c r="M11" s="3082" t="s">
        <v>1254</v>
      </c>
      <c r="N11" s="3083"/>
      <c r="O11" s="3083"/>
      <c r="P11" s="3083"/>
      <c r="Q11" s="3083"/>
      <c r="R11" s="3083"/>
      <c r="S11" s="3083"/>
      <c r="T11" s="3084"/>
      <c r="U11" s="3021" t="s">
        <v>1733</v>
      </c>
      <c r="V11" s="3021"/>
      <c r="W11" s="3075"/>
      <c r="X11" s="3067" t="s">
        <v>4810</v>
      </c>
      <c r="Y11" s="3068"/>
      <c r="Z11" s="3069"/>
      <c r="AB11" s="1523"/>
      <c r="AY11" s="1790">
        <v>11</v>
      </c>
    </row>
    <row r="12" spans="1:51" ht="11.25" customHeight="1">
      <c r="A12" s="3060"/>
      <c r="B12" s="3060"/>
      <c r="C12" s="3058">
        <v>33</v>
      </c>
      <c r="D12" s="3070">
        <f>IF($C$16="4%",AA136+AA145+AA166+AA183+AA215+AA247,0)</f>
        <v>0</v>
      </c>
      <c r="E12" s="3072">
        <f>IF($C$16="4%",AB136+AB145+AB166+AB183+AB215+AB247,0)</f>
        <v>0</v>
      </c>
      <c r="G12" s="3085"/>
      <c r="H12" s="3085"/>
      <c r="I12" s="3085"/>
      <c r="J12" s="3085"/>
      <c r="K12" s="3085"/>
      <c r="L12" s="3086"/>
      <c r="M12" s="3076" t="s">
        <v>1732</v>
      </c>
      <c r="N12" s="3077"/>
      <c r="O12" s="3077"/>
      <c r="P12" s="3077"/>
      <c r="Q12" s="3077"/>
      <c r="R12" s="3077"/>
      <c r="S12" s="3077"/>
      <c r="T12" s="3078"/>
      <c r="U12" s="3021"/>
      <c r="V12" s="3021"/>
      <c r="W12" s="3075"/>
      <c r="X12" s="3061" t="s">
        <v>1734</v>
      </c>
      <c r="Y12" s="3062"/>
      <c r="Z12" s="3063"/>
      <c r="AB12" s="1528"/>
      <c r="AY12" s="1790">
        <v>12</v>
      </c>
    </row>
    <row r="13" spans="1:51" ht="11.25" customHeight="1">
      <c r="A13" s="3060"/>
      <c r="B13" s="3060"/>
      <c r="C13" s="3059"/>
      <c r="D13" s="3071"/>
      <c r="E13" s="3073"/>
      <c r="G13" s="3085"/>
      <c r="H13" s="3085"/>
      <c r="I13" s="3085"/>
      <c r="J13" s="3085"/>
      <c r="K13" s="3085"/>
      <c r="L13" s="3086"/>
      <c r="M13" s="3079"/>
      <c r="N13" s="3080"/>
      <c r="O13" s="3080"/>
      <c r="P13" s="3080"/>
      <c r="Q13" s="3080"/>
      <c r="R13" s="3080"/>
      <c r="S13" s="3080"/>
      <c r="T13" s="3081"/>
      <c r="U13" s="3021"/>
      <c r="V13" s="3021"/>
      <c r="W13" s="3075"/>
      <c r="X13" s="3064"/>
      <c r="Y13" s="3065"/>
      <c r="Z13" s="3066"/>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3021" t="s">
        <v>1735</v>
      </c>
      <c r="D15" s="3021"/>
      <c r="E15" s="3021"/>
      <c r="G15" s="3021" t="s">
        <v>1736</v>
      </c>
      <c r="H15" s="3021"/>
      <c r="I15" s="3021"/>
      <c r="J15" s="3021"/>
      <c r="K15" s="3021"/>
      <c r="L15" s="3021"/>
      <c r="M15" s="3030" t="s">
        <v>7696</v>
      </c>
      <c r="N15" s="3031"/>
      <c r="O15" s="3031"/>
      <c r="P15" s="3031"/>
      <c r="Q15" s="3031"/>
      <c r="R15" s="3031"/>
      <c r="S15" s="3031"/>
      <c r="T15" s="3031"/>
      <c r="U15" s="3031"/>
      <c r="V15" s="3031"/>
      <c r="W15" s="3031"/>
      <c r="X15" s="3031"/>
      <c r="Y15" s="3031"/>
      <c r="Z15" s="3032"/>
      <c r="AM15" s="1529"/>
      <c r="AN15" s="1529"/>
      <c r="AO15" s="1529"/>
      <c r="AP15" s="1529"/>
      <c r="AQ15" s="1529"/>
      <c r="AR15" s="1540"/>
      <c r="AS15" s="1540"/>
      <c r="AT15" s="1540"/>
      <c r="AU15" s="1540"/>
      <c r="AY15" s="1791">
        <v>15</v>
      </c>
    </row>
    <row r="16" spans="1:51" ht="17.25" customHeight="1">
      <c r="C16" s="3022"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3023"/>
      <c r="E16" s="3024"/>
      <c r="G16" s="3021"/>
      <c r="H16" s="3021"/>
      <c r="I16" s="3021"/>
      <c r="J16" s="3021"/>
      <c r="K16" s="3021"/>
      <c r="L16" s="3021"/>
      <c r="M16" s="3033" t="s">
        <v>1737</v>
      </c>
      <c r="N16" s="3034"/>
      <c r="O16" s="3034"/>
      <c r="P16" s="3034"/>
      <c r="Q16" s="3034"/>
      <c r="R16" s="3034"/>
      <c r="S16" s="3034"/>
      <c r="T16" s="3034"/>
      <c r="U16" s="3034"/>
      <c r="V16" s="3034"/>
      <c r="W16" s="3034"/>
      <c r="X16" s="3034"/>
      <c r="Y16" s="3034"/>
      <c r="Z16" s="3035"/>
      <c r="AM16" s="1529"/>
      <c r="AN16" s="1529"/>
      <c r="AO16" s="1529"/>
      <c r="AP16" s="1529"/>
      <c r="AQ16" s="1529"/>
      <c r="AR16" s="1540"/>
      <c r="AS16" s="1540"/>
      <c r="AT16" s="1540"/>
      <c r="AU16" s="1540"/>
      <c r="AY16" s="1791">
        <v>16</v>
      </c>
    </row>
    <row r="17" spans="1:51" ht="15.95"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5.95" customHeight="1">
      <c r="C18" s="1528"/>
      <c r="D18" s="1528"/>
      <c r="G18" s="3021" t="s">
        <v>1738</v>
      </c>
      <c r="H18" s="3021"/>
      <c r="I18" s="3021"/>
      <c r="J18" s="3021"/>
      <c r="K18" s="3021"/>
      <c r="L18" s="3021"/>
      <c r="M18" s="3030" t="s">
        <v>1739</v>
      </c>
      <c r="N18" s="3031"/>
      <c r="O18" s="3031"/>
      <c r="P18" s="3031"/>
      <c r="Q18" s="3031"/>
      <c r="R18" s="3031"/>
      <c r="S18" s="3031"/>
      <c r="T18" s="3031"/>
      <c r="U18" s="3031"/>
      <c r="V18" s="3031"/>
      <c r="W18" s="3031"/>
      <c r="X18" s="3031"/>
      <c r="Y18" s="3031"/>
      <c r="Z18" s="3032"/>
      <c r="AC18" s="1529"/>
      <c r="AD18" s="1529"/>
      <c r="AE18" s="1529"/>
      <c r="AF18" s="1529"/>
      <c r="AG18" s="1529"/>
      <c r="AH18" s="1529"/>
      <c r="AI18" s="1529"/>
      <c r="AJ18" s="1529"/>
      <c r="AK18" s="1529"/>
      <c r="AL18" s="1529"/>
      <c r="AM18" s="1529"/>
      <c r="AN18" s="1529"/>
      <c r="AO18" s="1529"/>
      <c r="AP18" s="1529"/>
      <c r="AQ18" s="1529"/>
      <c r="AY18" s="1791"/>
    </row>
    <row r="19" spans="1:51" ht="15.95" customHeight="1">
      <c r="C19" s="1528"/>
      <c r="D19" s="1528"/>
      <c r="G19" s="3021"/>
      <c r="H19" s="3021"/>
      <c r="I19" s="3021"/>
      <c r="J19" s="3021"/>
      <c r="K19" s="3021"/>
      <c r="L19" s="3021"/>
      <c r="M19" s="3033" t="s">
        <v>1739</v>
      </c>
      <c r="N19" s="3034"/>
      <c r="O19" s="3034"/>
      <c r="P19" s="3034"/>
      <c r="Q19" s="3034"/>
      <c r="R19" s="3034"/>
      <c r="S19" s="3034"/>
      <c r="T19" s="3034"/>
      <c r="U19" s="3034"/>
      <c r="V19" s="3034"/>
      <c r="W19" s="3034"/>
      <c r="X19" s="3034"/>
      <c r="Y19" s="3034"/>
      <c r="Z19" s="3035"/>
      <c r="AC19" s="1529"/>
      <c r="AD19" s="1529"/>
      <c r="AE19" s="1529"/>
      <c r="AF19" s="1529"/>
      <c r="AG19" s="1529"/>
      <c r="AH19" s="1529"/>
      <c r="AI19" s="1529"/>
      <c r="AJ19" s="1529"/>
      <c r="AK19" s="1529"/>
      <c r="AL19" s="1529"/>
      <c r="AM19" s="1529"/>
      <c r="AN19" s="1529"/>
      <c r="AO19" s="1529"/>
      <c r="AP19" s="1529"/>
      <c r="AQ19" s="1529"/>
      <c r="AY19" s="1791"/>
    </row>
    <row r="20" spans="1:51" ht="15.95"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1740</v>
      </c>
      <c r="D21" s="3027" t="s">
        <v>1741</v>
      </c>
      <c r="E21" s="3028"/>
      <c r="F21" s="3028"/>
      <c r="G21" s="3028"/>
      <c r="H21" s="3028"/>
      <c r="I21" s="3028"/>
      <c r="J21" s="3028"/>
      <c r="K21" s="3028"/>
      <c r="L21" s="3028"/>
      <c r="M21" s="3028"/>
      <c r="N21" s="3028"/>
      <c r="O21" s="3028"/>
      <c r="P21" s="3028"/>
      <c r="Q21" s="3028"/>
      <c r="R21" s="3028"/>
      <c r="S21" s="3028"/>
      <c r="T21" s="3028"/>
      <c r="U21" s="3028"/>
      <c r="V21" s="3028"/>
      <c r="W21" s="3028"/>
      <c r="X21" s="3028"/>
      <c r="Y21" s="3028"/>
      <c r="Z21" s="3029"/>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5.95" customHeight="1">
      <c r="A23" s="1534" t="s">
        <v>31</v>
      </c>
      <c r="B23" s="1535" t="s">
        <v>1742</v>
      </c>
      <c r="I23" s="2562"/>
      <c r="K23" s="2557"/>
      <c r="L23" s="2557"/>
      <c r="M23" s="2557"/>
      <c r="N23" s="2557"/>
      <c r="O23" s="2557"/>
      <c r="P23" s="2557"/>
      <c r="Q23" s="2557"/>
      <c r="R23" s="2557"/>
      <c r="S23" s="2557"/>
      <c r="T23" s="1515"/>
      <c r="U23" s="1515"/>
      <c r="V23" s="1515"/>
      <c r="W23" s="1515"/>
      <c r="X23" s="1542" t="s">
        <v>1743</v>
      </c>
      <c r="Y23" s="1517">
        <v>6</v>
      </c>
      <c r="Z23" s="2557"/>
      <c r="AA23" s="1543">
        <f>SUM(AA24,MAX(AA26,AA28))</f>
        <v>6</v>
      </c>
      <c r="AB23" s="1543">
        <f>SUM(AB24,MAX(AB26,AB28))</f>
        <v>0</v>
      </c>
      <c r="AC23" s="1544" t="s">
        <v>1744</v>
      </c>
      <c r="AF23" s="1541"/>
      <c r="AG23" s="1541"/>
      <c r="AY23" s="1791">
        <v>20</v>
      </c>
    </row>
    <row r="24" spans="1:51" s="1515" customFormat="1" ht="15.95" customHeight="1">
      <c r="A24" s="1517" t="s">
        <v>185</v>
      </c>
      <c r="B24" s="1523" t="s">
        <v>1745</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45" customHeight="1">
      <c r="A25" s="1517"/>
      <c r="B25" s="3026" t="s">
        <v>1746</v>
      </c>
      <c r="C25" s="3026"/>
      <c r="D25" s="3026"/>
      <c r="E25" s="3026"/>
      <c r="F25" s="3026"/>
      <c r="G25" s="3026"/>
      <c r="H25" s="3026"/>
      <c r="I25" s="3026"/>
      <c r="J25" s="3026"/>
      <c r="K25" s="3026"/>
      <c r="L25" s="3026"/>
      <c r="M25" s="3026"/>
      <c r="N25" s="3026"/>
      <c r="O25" s="3026"/>
      <c r="P25" s="3026"/>
      <c r="Q25" s="3026"/>
      <c r="R25" s="3026"/>
      <c r="S25" s="3026"/>
      <c r="T25" s="3026"/>
      <c r="U25" s="83"/>
      <c r="V25" s="83"/>
      <c r="W25" s="83"/>
      <c r="X25" s="1546"/>
      <c r="Y25" s="2557"/>
      <c r="Z25" s="1551"/>
      <c r="AA25" s="2777" t="s">
        <v>7444</v>
      </c>
      <c r="AB25" s="2778"/>
      <c r="AC25" s="1549"/>
      <c r="AD25" s="2554"/>
      <c r="AF25" s="1541"/>
      <c r="AG25" s="1541"/>
      <c r="AY25" s="1790">
        <v>22</v>
      </c>
    </row>
    <row r="26" spans="1:51" ht="15.95" customHeight="1">
      <c r="A26" s="1517" t="s">
        <v>197</v>
      </c>
      <c r="B26" s="1523" t="s">
        <v>1747</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c r="A27" s="1554"/>
      <c r="B27" s="3025" t="s">
        <v>1748</v>
      </c>
      <c r="C27" s="3025"/>
      <c r="D27" s="3025"/>
      <c r="E27" s="3025"/>
      <c r="F27" s="3025"/>
      <c r="G27" s="3025"/>
      <c r="H27" s="3025"/>
      <c r="I27" s="3025"/>
      <c r="J27" s="3025"/>
      <c r="K27" s="3025"/>
      <c r="L27" s="3025"/>
      <c r="M27" s="3025"/>
      <c r="N27" s="3025"/>
      <c r="O27" s="3025"/>
      <c r="P27" s="3025"/>
      <c r="Q27" s="3025"/>
      <c r="R27" s="3025"/>
      <c r="S27" s="3025"/>
      <c r="T27" s="3025"/>
      <c r="U27" s="3025"/>
      <c r="V27" s="3025"/>
      <c r="W27" s="3025"/>
      <c r="X27" s="3025"/>
      <c r="Y27" s="2557"/>
      <c r="Z27" s="1547"/>
      <c r="AA27" s="1457"/>
      <c r="AB27" s="1555"/>
      <c r="AD27" s="1546"/>
      <c r="AF27" s="1541"/>
      <c r="AG27" s="1541"/>
      <c r="AY27" s="1791">
        <v>26</v>
      </c>
    </row>
    <row r="28" spans="1:51" ht="15.95" customHeight="1">
      <c r="A28" s="1517" t="s">
        <v>218</v>
      </c>
      <c r="B28" s="1523" t="s">
        <v>1749</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4.25">
      <c r="B29" s="3017" t="s">
        <v>1750</v>
      </c>
      <c r="C29" s="3017"/>
      <c r="D29" s="3017"/>
      <c r="E29" s="3017"/>
      <c r="F29" s="3017"/>
      <c r="G29" s="3017"/>
      <c r="H29" s="3017"/>
      <c r="I29" s="3017"/>
      <c r="J29" s="3017"/>
      <c r="K29" s="3017"/>
      <c r="L29" s="3017"/>
      <c r="M29" s="3017"/>
      <c r="N29" s="3017"/>
      <c r="O29" s="3017"/>
      <c r="P29" s="3017"/>
      <c r="Q29" s="3017"/>
      <c r="R29" s="3017"/>
      <c r="S29" s="3017"/>
      <c r="T29" s="3017"/>
      <c r="U29" s="3017"/>
      <c r="V29" s="3017"/>
      <c r="W29" s="3017"/>
      <c r="X29" s="3017"/>
      <c r="Y29" s="2557"/>
      <c r="Z29" s="2557"/>
      <c r="AA29" s="2557"/>
      <c r="AB29" s="2557"/>
      <c r="AD29" s="1546"/>
      <c r="AF29" s="1541"/>
      <c r="AG29" s="1541"/>
      <c r="AY29" s="1791">
        <v>28</v>
      </c>
    </row>
    <row r="30" spans="1:51" s="1557" customFormat="1">
      <c r="B30" s="1552" t="s">
        <v>200</v>
      </c>
      <c r="C30" s="3039" t="s">
        <v>1751</v>
      </c>
      <c r="D30" s="3039"/>
      <c r="E30" s="3039"/>
      <c r="F30" s="3039"/>
      <c r="G30" s="3039"/>
      <c r="H30" s="3039"/>
      <c r="I30" s="3039"/>
      <c r="J30" s="3039"/>
      <c r="K30" s="3039"/>
      <c r="L30" s="3039"/>
      <c r="M30" s="3039"/>
      <c r="N30" s="3039"/>
      <c r="O30" s="3039"/>
      <c r="P30" s="3039"/>
      <c r="Q30" s="3039"/>
      <c r="R30" s="3039"/>
      <c r="S30" s="3039"/>
      <c r="T30" s="3039"/>
      <c r="U30" s="3039"/>
      <c r="V30" s="2559"/>
      <c r="W30" s="2559"/>
      <c r="X30" s="2559"/>
      <c r="Y30" s="1558"/>
      <c r="Z30" s="1559"/>
      <c r="AA30" s="2780"/>
      <c r="AB30" s="2781"/>
      <c r="AD30" s="1560"/>
      <c r="AF30" s="1561"/>
      <c r="AG30" s="1561"/>
      <c r="AY30" s="1790">
        <v>29</v>
      </c>
    </row>
    <row r="31" spans="1:51" s="1557" customFormat="1">
      <c r="B31" s="1552" t="s">
        <v>208</v>
      </c>
      <c r="C31" s="1557" t="s">
        <v>1752</v>
      </c>
      <c r="V31" s="2559"/>
      <c r="W31" s="2559"/>
      <c r="X31" s="2559"/>
      <c r="Y31" s="1558"/>
      <c r="Z31" s="1559"/>
      <c r="AA31" s="1456"/>
      <c r="AB31" s="1556"/>
      <c r="AD31" s="1560"/>
      <c r="AF31" s="1561"/>
      <c r="AG31" s="1561"/>
      <c r="AY31" s="1790">
        <v>30</v>
      </c>
    </row>
    <row r="32" spans="1:51" s="1557" customFormat="1" ht="14.25">
      <c r="B32" s="2576" t="s">
        <v>1753</v>
      </c>
      <c r="E32" s="2559"/>
      <c r="F32" s="2559"/>
      <c r="G32" s="2559"/>
      <c r="H32" s="2559"/>
      <c r="I32" s="2559"/>
      <c r="J32" s="2409"/>
      <c r="K32" s="2410"/>
      <c r="L32" s="2410"/>
      <c r="M32" s="2410"/>
      <c r="N32" s="2410"/>
      <c r="O32" s="2410"/>
      <c r="P32" s="2410"/>
      <c r="Q32" s="2410"/>
      <c r="R32" s="2410"/>
      <c r="S32" s="2410"/>
      <c r="T32" s="3036"/>
      <c r="U32" s="3037"/>
      <c r="V32" s="3037"/>
      <c r="W32" s="3037"/>
      <c r="X32" s="3037"/>
      <c r="Y32" s="3037"/>
      <c r="Z32" s="3038"/>
      <c r="AA32" s="1559"/>
      <c r="AB32" s="1559"/>
      <c r="AD32" s="1560"/>
      <c r="AF32" s="1561"/>
      <c r="AG32" s="1561"/>
      <c r="AY32" s="1790">
        <v>31</v>
      </c>
    </row>
    <row r="33" spans="1:51" s="1557" customFormat="1">
      <c r="B33" s="1552" t="s">
        <v>212</v>
      </c>
      <c r="C33" s="3017" t="s">
        <v>1754</v>
      </c>
      <c r="D33" s="3017"/>
      <c r="E33" s="3017"/>
      <c r="F33" s="3017"/>
      <c r="G33" s="3017"/>
      <c r="H33" s="3017"/>
      <c r="I33" s="3017"/>
      <c r="J33" s="3017"/>
      <c r="K33" s="3017"/>
      <c r="L33" s="3017"/>
      <c r="M33" s="3017"/>
      <c r="N33" s="3017"/>
      <c r="O33" s="3017"/>
      <c r="P33" s="3017"/>
      <c r="Q33" s="3017"/>
      <c r="R33" s="3017"/>
      <c r="S33" s="3017"/>
      <c r="T33" s="3017"/>
      <c r="U33" s="3017"/>
      <c r="V33" s="3017"/>
      <c r="W33" s="3017"/>
      <c r="X33" s="3017"/>
      <c r="Y33" s="1558"/>
      <c r="Z33" s="1559"/>
      <c r="AA33" s="2782" t="s">
        <v>7444</v>
      </c>
      <c r="AB33" s="2783"/>
      <c r="AD33" s="1560"/>
      <c r="AF33" s="1561"/>
      <c r="AG33" s="1561"/>
      <c r="AY33" s="1790">
        <v>32</v>
      </c>
    </row>
    <row r="34" spans="1:51" ht="15.95" customHeight="1">
      <c r="A34" s="1515"/>
      <c r="B34" s="1562" t="s">
        <v>1452</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018"/>
      <c r="B35" s="3019"/>
      <c r="C35" s="3019"/>
      <c r="D35" s="3019"/>
      <c r="E35" s="3019"/>
      <c r="F35" s="3019"/>
      <c r="G35" s="3019"/>
      <c r="H35" s="3019"/>
      <c r="I35" s="3019"/>
      <c r="J35" s="3019"/>
      <c r="K35" s="3019"/>
      <c r="L35" s="3019"/>
      <c r="M35" s="3019"/>
      <c r="N35" s="3019"/>
      <c r="O35" s="3019"/>
      <c r="P35" s="3019"/>
      <c r="Q35" s="3019"/>
      <c r="R35" s="3019"/>
      <c r="S35" s="3019"/>
      <c r="T35" s="3019"/>
      <c r="U35" s="3019"/>
      <c r="V35" s="3019"/>
      <c r="W35" s="3019"/>
      <c r="X35" s="3019"/>
      <c r="Y35" s="3019"/>
      <c r="Z35" s="3019"/>
      <c r="AA35" s="3019"/>
      <c r="AB35" s="3020"/>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5.95" customHeight="1" thickBot="1">
      <c r="A38" s="1534" t="s">
        <v>43</v>
      </c>
      <c r="B38" s="1535" t="s">
        <v>1755</v>
      </c>
      <c r="E38" s="1575"/>
      <c r="F38" s="1575"/>
      <c r="G38" s="1515"/>
      <c r="H38" s="1515"/>
      <c r="I38" s="1515"/>
      <c r="K38" s="1576"/>
      <c r="L38" s="1576"/>
      <c r="M38" s="1576"/>
      <c r="N38" s="1576"/>
      <c r="O38" s="1576"/>
      <c r="P38" s="1576"/>
      <c r="Q38" s="1576"/>
      <c r="R38" s="1576"/>
      <c r="S38" s="1576"/>
      <c r="T38" s="2553"/>
      <c r="U38" s="2553"/>
      <c r="V38" s="2553"/>
      <c r="W38" s="2553"/>
      <c r="X38" s="1542" t="s">
        <v>1743</v>
      </c>
      <c r="Y38" s="1525">
        <v>5</v>
      </c>
      <c r="Z38" s="2557"/>
      <c r="AA38" s="1577">
        <f>AA39+AA60</f>
        <v>0</v>
      </c>
      <c r="AB38" s="1577">
        <f>AB39+AB60</f>
        <v>0</v>
      </c>
      <c r="AC38" s="1544" t="s">
        <v>1744</v>
      </c>
      <c r="AY38" s="1791">
        <v>55</v>
      </c>
    </row>
    <row r="39" spans="1:51" ht="15.95" customHeight="1">
      <c r="A39" s="1578" t="s">
        <v>185</v>
      </c>
      <c r="B39" s="1523" t="s">
        <v>1756</v>
      </c>
      <c r="X39" s="1546" t="str">
        <f>IF(AA39&lt;=Y39,"","* * Check Score! * *")</f>
        <v/>
      </c>
      <c r="Y39" s="2557">
        <v>4</v>
      </c>
      <c r="Z39" s="1547"/>
      <c r="AA39" s="1458"/>
      <c r="AB39" s="1579"/>
      <c r="AC39" s="1549" t="str">
        <f>IF(AA39&lt;=Y39,"","*CHECK!*")</f>
        <v/>
      </c>
      <c r="AD39" s="1528"/>
      <c r="AE39" s="1528"/>
      <c r="AF39" s="1513"/>
      <c r="AY39" s="1791">
        <v>56</v>
      </c>
    </row>
    <row r="40" spans="1:51" ht="30.95" customHeight="1">
      <c r="A40" s="1578"/>
      <c r="B40" s="3043" t="s">
        <v>1757</v>
      </c>
      <c r="C40" s="3043"/>
      <c r="D40" s="3043"/>
      <c r="E40" s="3043"/>
      <c r="F40" s="3043"/>
      <c r="G40" s="3043"/>
      <c r="H40" s="3043"/>
      <c r="I40" s="3043"/>
      <c r="J40" s="3043"/>
      <c r="K40" s="3043"/>
      <c r="L40" s="3043"/>
      <c r="M40" s="3043"/>
      <c r="N40" s="3043"/>
      <c r="O40" s="3043"/>
      <c r="P40" s="3043"/>
      <c r="Q40" s="3043"/>
      <c r="R40" s="3043"/>
      <c r="S40" s="3043"/>
      <c r="T40" s="3043"/>
      <c r="U40" s="3043"/>
      <c r="V40" s="3043"/>
      <c r="W40" s="3043"/>
      <c r="X40" s="3043"/>
      <c r="Z40" s="1514"/>
      <c r="AA40" s="1459" t="s">
        <v>7678</v>
      </c>
      <c r="AB40" s="1580"/>
      <c r="AD40" s="1528"/>
      <c r="AE40" s="1528"/>
      <c r="AF40" s="1513"/>
      <c r="AY40" s="1790">
        <v>57</v>
      </c>
    </row>
    <row r="41" spans="1:51" ht="15.95" customHeight="1">
      <c r="A41" s="1578"/>
      <c r="B41" s="1581"/>
      <c r="C41" s="1557"/>
      <c r="D41" s="1557"/>
      <c r="E41" s="1557"/>
      <c r="F41" s="1557"/>
      <c r="G41" s="1557"/>
      <c r="H41" s="1557"/>
      <c r="I41" s="1557"/>
      <c r="J41" s="1557"/>
      <c r="K41" s="2411"/>
      <c r="L41" s="2411"/>
      <c r="M41" s="2411"/>
      <c r="N41" s="2411"/>
      <c r="O41" s="2411"/>
      <c r="P41" s="2411"/>
      <c r="Q41" s="2411"/>
      <c r="R41" s="2411"/>
      <c r="S41" s="2411"/>
      <c r="T41" s="3048" t="s">
        <v>1758</v>
      </c>
      <c r="U41" s="3048"/>
      <c r="V41" s="3048"/>
      <c r="W41" s="3048"/>
      <c r="Y41" s="3044" t="s">
        <v>1758</v>
      </c>
      <c r="Z41" s="3044"/>
      <c r="AA41" s="3044"/>
      <c r="AB41" s="3044"/>
      <c r="AD41" s="1582"/>
      <c r="AE41" s="1582"/>
      <c r="AF41" s="1513"/>
      <c r="AY41" s="1790">
        <v>58</v>
      </c>
    </row>
    <row r="42" spans="1:51" ht="14.1" customHeight="1">
      <c r="A42" s="1547"/>
      <c r="B42" s="1550" t="s">
        <v>200</v>
      </c>
      <c r="C42" s="1515" t="s">
        <v>1759</v>
      </c>
      <c r="D42" s="1515"/>
      <c r="J42" s="1547"/>
      <c r="K42" s="2412"/>
      <c r="L42" s="2412"/>
      <c r="M42" s="2412"/>
      <c r="N42" s="2412"/>
      <c r="O42" s="2412"/>
      <c r="P42" s="2412"/>
      <c r="Q42" s="2412"/>
      <c r="R42" s="2412"/>
      <c r="S42" s="2412"/>
      <c r="T42" s="3049"/>
      <c r="U42" s="3050"/>
      <c r="V42" s="3050"/>
      <c r="W42" s="3051"/>
      <c r="X42" s="1547"/>
      <c r="Y42" s="3045"/>
      <c r="Z42" s="3046"/>
      <c r="AA42" s="3046"/>
      <c r="AB42" s="3047"/>
      <c r="AD42" s="1546"/>
      <c r="AY42" s="1791">
        <v>59</v>
      </c>
    </row>
    <row r="43" spans="1:51" ht="14.1" customHeight="1">
      <c r="A43" s="1542"/>
      <c r="B43" s="1552" t="s">
        <v>208</v>
      </c>
      <c r="C43" s="1515" t="s">
        <v>1760</v>
      </c>
      <c r="D43" s="1515"/>
      <c r="J43" s="1559"/>
      <c r="K43" s="2413"/>
      <c r="L43" s="2413"/>
      <c r="M43" s="2413"/>
      <c r="N43" s="2413"/>
      <c r="O43" s="2413"/>
      <c r="P43" s="2413"/>
      <c r="Q43" s="2413"/>
      <c r="R43" s="2413"/>
      <c r="S43" s="2413"/>
      <c r="T43" s="3049"/>
      <c r="U43" s="3050"/>
      <c r="V43" s="3050"/>
      <c r="W43" s="3051"/>
      <c r="X43" s="1559"/>
      <c r="Y43" s="3040"/>
      <c r="Z43" s="3041"/>
      <c r="AA43" s="3041"/>
      <c r="AB43" s="3042"/>
      <c r="AY43" s="1791">
        <v>60</v>
      </c>
    </row>
    <row r="44" spans="1:51" ht="14.1" customHeight="1">
      <c r="B44" s="1550" t="s">
        <v>212</v>
      </c>
      <c r="C44" s="1515" t="s">
        <v>1761</v>
      </c>
      <c r="D44" s="1515"/>
      <c r="J44" s="1547"/>
      <c r="K44" s="2414"/>
      <c r="L44" s="2414"/>
      <c r="M44" s="2414"/>
      <c r="N44" s="2414"/>
      <c r="O44" s="2414"/>
      <c r="P44" s="2414"/>
      <c r="Q44" s="2414"/>
      <c r="R44" s="2414"/>
      <c r="S44" s="2414"/>
      <c r="T44" s="3087">
        <f>'Part II-Sources of Funds'!H7</f>
        <v>0</v>
      </c>
      <c r="U44" s="3088"/>
      <c r="V44" s="3088"/>
      <c r="W44" s="3089"/>
      <c r="X44" s="1547"/>
      <c r="Y44" s="3040"/>
      <c r="Z44" s="3041"/>
      <c r="AA44" s="3041"/>
      <c r="AB44" s="3042"/>
      <c r="AY44" s="1791">
        <v>61</v>
      </c>
    </row>
    <row r="45" spans="1:51" ht="14.1" customHeight="1">
      <c r="B45" s="1550" t="s">
        <v>252</v>
      </c>
      <c r="C45" s="1515" t="s">
        <v>1762</v>
      </c>
      <c r="D45" s="1515"/>
      <c r="J45" s="1547"/>
      <c r="K45" s="2414"/>
      <c r="L45" s="2414"/>
      <c r="M45" s="2414"/>
      <c r="N45" s="2414"/>
      <c r="O45" s="2414"/>
      <c r="P45" s="2414"/>
      <c r="Q45" s="2414"/>
      <c r="R45" s="2414"/>
      <c r="S45" s="2414"/>
      <c r="T45" s="3087">
        <f>'Part II-Sources of Funds'!H9</f>
        <v>0</v>
      </c>
      <c r="U45" s="3088"/>
      <c r="V45" s="3088"/>
      <c r="W45" s="3089"/>
      <c r="X45" s="1547"/>
      <c r="Y45" s="3040"/>
      <c r="Z45" s="3041"/>
      <c r="AA45" s="3041"/>
      <c r="AB45" s="3042"/>
      <c r="AY45" s="1791">
        <v>62</v>
      </c>
    </row>
    <row r="46" spans="1:51" ht="14.1" customHeight="1">
      <c r="A46" s="1542"/>
      <c r="B46" s="1552" t="s">
        <v>254</v>
      </c>
      <c r="C46" s="1515" t="s">
        <v>1763</v>
      </c>
      <c r="D46" s="1515"/>
      <c r="J46" s="1547"/>
      <c r="K46" s="2413"/>
      <c r="L46" s="2413"/>
      <c r="M46" s="2413"/>
      <c r="N46" s="2413"/>
      <c r="O46" s="2413"/>
      <c r="P46" s="2413"/>
      <c r="Q46" s="2413"/>
      <c r="R46" s="2413"/>
      <c r="S46" s="2413"/>
      <c r="T46" s="3090"/>
      <c r="U46" s="3091"/>
      <c r="V46" s="3091"/>
      <c r="W46" s="3092"/>
      <c r="X46" s="1547"/>
      <c r="Y46" s="3040"/>
      <c r="Z46" s="3041"/>
      <c r="AA46" s="3041"/>
      <c r="AB46" s="3042"/>
      <c r="AY46" s="1790">
        <v>63</v>
      </c>
    </row>
    <row r="47" spans="1:51" ht="14.1" customHeight="1">
      <c r="A47" s="1547"/>
      <c r="B47" s="1550" t="s">
        <v>256</v>
      </c>
      <c r="C47" s="1515" t="s">
        <v>1764</v>
      </c>
      <c r="D47" s="1515"/>
      <c r="J47" s="1559"/>
      <c r="K47" s="2413"/>
      <c r="L47" s="2413"/>
      <c r="M47" s="2413"/>
      <c r="N47" s="2413"/>
      <c r="O47" s="2413"/>
      <c r="P47" s="2497"/>
      <c r="Q47" s="2413"/>
      <c r="R47" s="2413"/>
      <c r="S47" s="2413"/>
      <c r="T47" s="3049"/>
      <c r="U47" s="3050"/>
      <c r="V47" s="3050"/>
      <c r="W47" s="3051"/>
      <c r="X47" s="1559"/>
      <c r="Y47" s="3040"/>
      <c r="Z47" s="3041"/>
      <c r="AA47" s="3041"/>
      <c r="AB47" s="3042"/>
      <c r="AY47" s="1791">
        <v>64</v>
      </c>
    </row>
    <row r="48" spans="1:51" ht="14.1" customHeight="1">
      <c r="B48" s="1550" t="s">
        <v>258</v>
      </c>
      <c r="C48" s="1515" t="s">
        <v>1765</v>
      </c>
      <c r="D48" s="1515"/>
      <c r="J48" s="1547"/>
      <c r="K48" s="2413"/>
      <c r="L48" s="2413"/>
      <c r="M48" s="2413"/>
      <c r="N48" s="2413"/>
      <c r="O48" s="2413"/>
      <c r="P48" s="2413"/>
      <c r="Q48" s="2413"/>
      <c r="R48" s="2413"/>
      <c r="S48" s="2413"/>
      <c r="T48" s="3049"/>
      <c r="U48" s="3050"/>
      <c r="V48" s="3050"/>
      <c r="W48" s="3051"/>
      <c r="X48" s="1547"/>
      <c r="Y48" s="3040"/>
      <c r="Z48" s="3041"/>
      <c r="AA48" s="3041"/>
      <c r="AB48" s="3042"/>
      <c r="AY48" s="1790">
        <v>65</v>
      </c>
    </row>
    <row r="49" spans="1:51" ht="14.1" customHeight="1">
      <c r="B49" s="1550" t="s">
        <v>260</v>
      </c>
      <c r="C49" s="1515" t="s">
        <v>1766</v>
      </c>
      <c r="D49" s="1515"/>
      <c r="J49" s="1547"/>
      <c r="K49" s="2413"/>
      <c r="L49" s="2413"/>
      <c r="M49" s="2413"/>
      <c r="N49" s="2413"/>
      <c r="O49" s="2413"/>
      <c r="P49" s="2413"/>
      <c r="Q49" s="2413"/>
      <c r="R49" s="2413"/>
      <c r="S49" s="2413"/>
      <c r="T49" s="3049"/>
      <c r="U49" s="3050"/>
      <c r="V49" s="3050"/>
      <c r="W49" s="3051"/>
      <c r="X49" s="1547"/>
      <c r="Y49" s="3040"/>
      <c r="Z49" s="3041"/>
      <c r="AA49" s="3041"/>
      <c r="AB49" s="3042"/>
      <c r="AD49" s="1546"/>
      <c r="AY49" s="1790">
        <v>66</v>
      </c>
    </row>
    <row r="50" spans="1:51" ht="14.1" customHeight="1">
      <c r="A50" s="1542"/>
      <c r="B50" s="1550" t="s">
        <v>262</v>
      </c>
      <c r="C50" s="1515" t="s">
        <v>1767</v>
      </c>
      <c r="D50" s="1515"/>
      <c r="J50" s="1547"/>
      <c r="K50" s="2413"/>
      <c r="L50" s="2413"/>
      <c r="M50" s="2413"/>
      <c r="N50" s="2413"/>
      <c r="O50" s="2413"/>
      <c r="P50" s="2413"/>
      <c r="Q50" s="2413"/>
      <c r="R50" s="2413"/>
      <c r="S50" s="2413"/>
      <c r="T50" s="3049"/>
      <c r="U50" s="3050"/>
      <c r="V50" s="3050"/>
      <c r="W50" s="3051"/>
      <c r="X50" s="1547"/>
      <c r="Y50" s="3040"/>
      <c r="Z50" s="3041"/>
      <c r="AA50" s="3041"/>
      <c r="AB50" s="3042"/>
      <c r="AD50" s="1546"/>
      <c r="AY50" s="1790">
        <v>67</v>
      </c>
    </row>
    <row r="51" spans="1:51" ht="14.1" customHeight="1">
      <c r="B51" s="1550" t="s">
        <v>1768</v>
      </c>
      <c r="C51" s="1515" t="s">
        <v>1769</v>
      </c>
      <c r="D51" s="1515"/>
      <c r="J51" s="1547"/>
      <c r="K51" s="2413"/>
      <c r="L51" s="2413"/>
      <c r="M51" s="2413"/>
      <c r="N51" s="2413"/>
      <c r="O51" s="2413"/>
      <c r="P51" s="2413"/>
      <c r="Q51" s="2413"/>
      <c r="R51" s="2413"/>
      <c r="S51" s="2413"/>
      <c r="T51" s="3049"/>
      <c r="U51" s="3050"/>
      <c r="V51" s="3050"/>
      <c r="W51" s="3051"/>
      <c r="X51" s="1547"/>
      <c r="Y51" s="3040"/>
      <c r="Z51" s="3041"/>
      <c r="AA51" s="3041"/>
      <c r="AB51" s="3042"/>
      <c r="AD51" s="1546"/>
      <c r="AY51" s="1790">
        <v>69</v>
      </c>
    </row>
    <row r="52" spans="1:51" ht="14.1" customHeight="1">
      <c r="B52" s="1550" t="s">
        <v>1770</v>
      </c>
      <c r="C52" s="1515" t="s">
        <v>1771</v>
      </c>
      <c r="D52" s="1515"/>
      <c r="J52" s="1547"/>
      <c r="K52" s="2413"/>
      <c r="L52" s="2413"/>
      <c r="M52" s="2413"/>
      <c r="N52" s="2413"/>
      <c r="O52" s="2413"/>
      <c r="P52" s="2413"/>
      <c r="Q52" s="2413"/>
      <c r="R52" s="2413"/>
      <c r="S52" s="2413"/>
      <c r="T52" s="3090"/>
      <c r="U52" s="3091"/>
      <c r="V52" s="3091"/>
      <c r="W52" s="3092"/>
      <c r="X52" s="1547"/>
      <c r="Y52" s="3100"/>
      <c r="Z52" s="3101"/>
      <c r="AA52" s="3101"/>
      <c r="AB52" s="3102"/>
      <c r="AD52" s="1546"/>
      <c r="AY52" s="1790">
        <v>70</v>
      </c>
    </row>
    <row r="53" spans="1:51" ht="16.5" customHeight="1">
      <c r="B53" s="1515"/>
      <c r="H53" s="2329" t="s">
        <v>1772</v>
      </c>
      <c r="J53" s="1530"/>
      <c r="L53" s="2415"/>
      <c r="M53" s="2415"/>
      <c r="N53" s="2415"/>
      <c r="O53" s="2415"/>
      <c r="P53" s="2415"/>
      <c r="Q53" s="2415"/>
      <c r="R53" s="2415"/>
      <c r="S53" s="2415"/>
      <c r="T53" s="3103">
        <f>SUM(T42:W52)</f>
        <v>0</v>
      </c>
      <c r="U53" s="3104"/>
      <c r="V53" s="3104"/>
      <c r="W53" s="3105"/>
      <c r="Y53" s="3093">
        <f>SUM($Y42:$Y52)</f>
        <v>0</v>
      </c>
      <c r="Z53" s="3094"/>
      <c r="AA53" s="3094"/>
      <c r="AB53" s="3095"/>
      <c r="AH53" s="3096" t="s">
        <v>1773</v>
      </c>
      <c r="AI53" s="3096"/>
      <c r="AJ53" s="3096"/>
      <c r="AK53" s="3096"/>
      <c r="AL53" s="3096"/>
      <c r="AM53" s="3096"/>
      <c r="AY53" s="1791">
        <v>71</v>
      </c>
    </row>
    <row r="54" spans="1:51" ht="7.5" customHeight="1">
      <c r="Y54" s="1528"/>
      <c r="Z54" s="1528"/>
      <c r="AA54" s="1514"/>
      <c r="AB54" s="1528"/>
      <c r="AH54" s="1662" t="s">
        <v>1774</v>
      </c>
      <c r="AI54" s="1662" t="s">
        <v>1722</v>
      </c>
      <c r="AJ54" s="1662" t="s">
        <v>1774</v>
      </c>
      <c r="AK54" s="1662" t="s">
        <v>1722</v>
      </c>
      <c r="AL54" s="1662" t="s">
        <v>1774</v>
      </c>
      <c r="AM54" s="1662" t="s">
        <v>1722</v>
      </c>
      <c r="AY54" s="1791">
        <v>72</v>
      </c>
    </row>
    <row r="55" spans="1:51" ht="15.95" customHeight="1">
      <c r="A55" s="1515"/>
      <c r="B55" s="1550"/>
      <c r="C55" s="1575" t="s">
        <v>1775</v>
      </c>
      <c r="D55" s="1575"/>
      <c r="E55" s="2563"/>
      <c r="F55" s="2563"/>
      <c r="L55" s="2415"/>
      <c r="M55" s="2415"/>
      <c r="N55" s="2415"/>
      <c r="O55" s="2415"/>
      <c r="P55" s="2415"/>
      <c r="Q55" s="2415"/>
      <c r="R55" s="2415"/>
      <c r="S55" s="1547" t="s">
        <v>1776</v>
      </c>
      <c r="T55" s="3106">
        <f>'Part V-Revenues &amp; Expenses'!$P$76</f>
        <v>60</v>
      </c>
      <c r="U55" s="3107"/>
      <c r="V55" s="3107"/>
      <c r="W55" s="3108"/>
      <c r="X55" s="1528"/>
      <c r="Y55" s="1528"/>
      <c r="Z55" s="1528"/>
      <c r="AA55" s="1514"/>
      <c r="AB55" s="1528"/>
      <c r="AD55" s="3012" t="s">
        <v>1777</v>
      </c>
      <c r="AE55" s="3012"/>
      <c r="AF55" s="3012"/>
      <c r="AG55" s="3013"/>
      <c r="AH55" s="2784">
        <v>500000</v>
      </c>
      <c r="AI55" s="2785">
        <v>999999.99</v>
      </c>
      <c r="AJ55" s="2784">
        <v>1000000</v>
      </c>
      <c r="AK55" s="2785">
        <v>1999999.99</v>
      </c>
      <c r="AL55" s="2784">
        <v>2000000</v>
      </c>
      <c r="AM55" s="2786"/>
      <c r="AY55" s="1791">
        <v>73</v>
      </c>
    </row>
    <row r="56" spans="1:51" ht="15.95" customHeight="1">
      <c r="C56" s="2563"/>
      <c r="D56" s="2563"/>
      <c r="E56" s="2563"/>
      <c r="F56" s="2563"/>
      <c r="L56" s="2416"/>
      <c r="M56" s="2416"/>
      <c r="N56" s="2416"/>
      <c r="O56" s="2416"/>
      <c r="P56" s="2416"/>
      <c r="Q56" s="2416"/>
      <c r="R56" s="2416"/>
      <c r="S56" s="1583" t="s">
        <v>1778</v>
      </c>
      <c r="T56" s="3109">
        <f>IF(T55=0,0,T53/T55)</f>
        <v>0</v>
      </c>
      <c r="U56" s="3110"/>
      <c r="V56" s="3110"/>
      <c r="W56" s="3111"/>
      <c r="Y56" s="3097">
        <f>IF(T55=0,0,Y53/T55)</f>
        <v>0</v>
      </c>
      <c r="Z56" s="3098"/>
      <c r="AA56" s="3098"/>
      <c r="AB56" s="3099"/>
      <c r="AD56" s="3012" t="s">
        <v>1779</v>
      </c>
      <c r="AE56" s="3012"/>
      <c r="AF56" s="3012"/>
      <c r="AG56" s="3013"/>
      <c r="AH56" s="1584">
        <v>10000</v>
      </c>
      <c r="AI56" s="1585">
        <v>19999.990000000002</v>
      </c>
      <c r="AJ56" s="1584">
        <v>20000</v>
      </c>
      <c r="AK56" s="1585">
        <v>29999.99</v>
      </c>
      <c r="AL56" s="1584">
        <v>30000</v>
      </c>
      <c r="AM56" s="1586"/>
      <c r="AY56" s="1790">
        <v>74</v>
      </c>
    </row>
    <row r="57" spans="1:51" ht="15.95" customHeight="1">
      <c r="C57" s="2563"/>
      <c r="D57" s="2563"/>
      <c r="E57" s="2563"/>
      <c r="F57" s="2563"/>
      <c r="L57" s="2415"/>
      <c r="M57" s="2415"/>
      <c r="N57" s="2415"/>
      <c r="O57" s="2415"/>
      <c r="P57" s="2415"/>
      <c r="Q57" s="2415"/>
      <c r="R57" s="2415"/>
      <c r="S57" s="1542" t="s">
        <v>1780</v>
      </c>
      <c r="T57" s="3087">
        <f>IF(AND(T45+T50&gt;0,T53&gt;=$AL$55),$AL$57, IF(AND(T45+T50=0,T53&gt;=$AL$55),$AL$58, IF(AND(T45+T50&gt;0,T53&gt;=$AJ$55),$AJ$57,IF(AND(T45+T50=0,T53&gt;=$AJ$55),$AJ$58, IF(AND(T45+T50&gt;0,T53&gt;=$AH$55),$AH$57,IF(AND(T45+T50=0,T53&gt;=$AH$55),$AH$58,0))))))</f>
        <v>0</v>
      </c>
      <c r="U57" s="3088"/>
      <c r="V57" s="3088"/>
      <c r="W57" s="3089"/>
      <c r="Y57" s="3112">
        <f>IF(AND(Y45+Y50&gt;0,Y53&gt;=$AL$55),$AL$57, IF(AND(Y45+Y50=0,Y53&gt;=$AL$55),$AL$58, IF(AND(Y45+Y50&gt;0,Y53&gt;=$AJ$55),$AJ$57,IF(AND(Y45+Y50=0,Y53&gt;=$AJ$55),$AJ$58, IF(AND(Y45+Y50&gt;0,Y53&gt;=$AH$55),$AH$57,IF(AND(Y45+Y50=0,Y53&gt;=$AH$55),$AH$58,0))))))</f>
        <v>0</v>
      </c>
      <c r="Z57" s="3113"/>
      <c r="AA57" s="3113">
        <f>IF(AND(AA45+AA50&gt;0,AA53&gt;=$AL$55),$AL$57, IF(AND(AA45+AA50=0,AA53&gt;=$AL$55),$AL$58, IF(AND(AA45+AA50&gt;0,AA53&gt;=$AJ$55),$AJ$57,IF(AND(AA45+AA50=0,AA53&gt;=$AJ$55),$AJ$58, IF(AND(AA45+AA50&gt;0,AA53&gt;=$AH$55),$AH$57,IF(AND(AA45+AA50=0,AA53&gt;=$AH$55),$AH$58,0))))))</f>
        <v>0</v>
      </c>
      <c r="AB57" s="3114"/>
      <c r="AD57" s="3012" t="s">
        <v>1781</v>
      </c>
      <c r="AE57" s="3012"/>
      <c r="AF57" s="3012"/>
      <c r="AG57" s="3013"/>
      <c r="AH57" s="3115">
        <v>2</v>
      </c>
      <c r="AI57" s="3116"/>
      <c r="AJ57" s="3115">
        <v>3</v>
      </c>
      <c r="AK57" s="3116"/>
      <c r="AL57" s="3115">
        <v>4</v>
      </c>
      <c r="AM57" s="3116"/>
      <c r="AY57" s="1790">
        <v>75</v>
      </c>
    </row>
    <row r="58" spans="1:51" ht="15.95" customHeight="1">
      <c r="C58" s="2563"/>
      <c r="D58" s="2563"/>
      <c r="E58" s="2563"/>
      <c r="F58" s="2563"/>
      <c r="L58" s="2417"/>
      <c r="M58" s="2417"/>
      <c r="N58" s="2417"/>
      <c r="O58" s="2417"/>
      <c r="P58" s="2417"/>
      <c r="Q58" s="2417"/>
      <c r="R58" s="2417"/>
      <c r="S58" s="1542" t="s">
        <v>1782</v>
      </c>
      <c r="T58" s="3120">
        <f>IF(AND(T45+T50&gt;0,$T$56&gt;=$AL$56),$AL$57,IF(AND(T45+T50=0,$T$56&gt;=$AL$56),$AL$58,IF(AND(T45+T50&gt;0,$T$56&gt;=$AJ$56),$AJ$57,IF(AND(T45+T50=0,$T$56&gt;=$AJ$56),$AJ$58,IF(AND(T45+T50&gt;0,$T$56&gt;=$AH$56),$AH$57,IF(AND(T45+T50=0,$T$56&gt;=$AH$56),$AH$58,0))))))</f>
        <v>0</v>
      </c>
      <c r="U58" s="3121"/>
      <c r="V58" s="3121"/>
      <c r="W58" s="3122"/>
      <c r="X58" s="1528"/>
      <c r="Y58" s="3117">
        <f>IF(AND(Y45+Y50&gt;0,$Y$56&gt;=$AL$56),$AL$57,IF(AND(Y45+Y50=0,$Y$56&gt;=$AL$56),$AL$58,IF(AND(Y45+Y50&gt;0,$Y$56&gt;=$AJ$56),$AJ$57,IF(AND(Y45+Y50=0,$Y$56&gt;=$AJ$56),$AJ$58,IF(AND(Y45+Y50&gt;0,$Y$56&gt;=$AH$56),$AH$57,IF(AND(Y45+Y50=0,$Y$56&gt;=$AH$56),$AH$58,0))))))</f>
        <v>0</v>
      </c>
      <c r="Z58" s="3118"/>
      <c r="AA58" s="3118">
        <f>IF(AND(AA45+AA50&gt;0,$T$55&gt;=$AL$56),$AL$57, IF(AND(AA45+AA50=0,$T$55&gt;=$AL$56),$AL$58, IF(AND(AA45+AA50&gt;0,$T$55&gt;=$AJ$56),$AJ$57,IF(AND(AA45+AA50=0,$T$55&gt;=$AJ$56),$AJ$58, IF(AND(AA45+AA50&gt;0,$T$55&gt;=$AH$56),$AH$57,IF(AND(AA45+AA50=0,$T$55&gt;=$AH$56),$AH$58,0))))))</f>
        <v>0</v>
      </c>
      <c r="AB58" s="3119"/>
      <c r="AD58" s="3012" t="s">
        <v>1783</v>
      </c>
      <c r="AE58" s="3012"/>
      <c r="AF58" s="3012"/>
      <c r="AG58" s="3013"/>
      <c r="AH58" s="3115">
        <v>1</v>
      </c>
      <c r="AI58" s="3116"/>
      <c r="AJ58" s="3115">
        <v>2</v>
      </c>
      <c r="AK58" s="3116"/>
      <c r="AL58" s="3115">
        <v>3</v>
      </c>
      <c r="AM58" s="3116"/>
      <c r="AY58" s="1791">
        <v>76</v>
      </c>
    </row>
    <row r="59" spans="1:51" ht="6" customHeight="1">
      <c r="AY59" s="1790">
        <v>77</v>
      </c>
    </row>
    <row r="60" spans="1:51" ht="15.95" customHeight="1">
      <c r="A60" s="1517" t="s">
        <v>197</v>
      </c>
      <c r="B60" s="1523" t="s">
        <v>1784</v>
      </c>
      <c r="E60" s="1515"/>
      <c r="F60" s="1587" t="s">
        <v>1785</v>
      </c>
      <c r="T60" s="1515"/>
      <c r="U60" s="1515"/>
      <c r="V60" s="1515"/>
      <c r="W60" s="1515"/>
      <c r="X60" s="1588" t="s">
        <v>1786</v>
      </c>
      <c r="Y60" s="2557">
        <v>1</v>
      </c>
      <c r="Z60" s="1547"/>
      <c r="AA60" s="1589">
        <f>MAX(AA61,AA62)</f>
        <v>0</v>
      </c>
      <c r="AB60" s="1589">
        <f>MAX(AB61,AB62)</f>
        <v>0</v>
      </c>
      <c r="AC60" s="1549"/>
      <c r="AD60" s="2554"/>
      <c r="AF60" s="1541"/>
      <c r="AY60" s="1790">
        <v>78</v>
      </c>
    </row>
    <row r="61" spans="1:51" s="1515" customFormat="1" ht="15.95" customHeight="1">
      <c r="A61" s="1517"/>
      <c r="B61" s="1550" t="s">
        <v>200</v>
      </c>
      <c r="C61" s="2562" t="s">
        <v>1787</v>
      </c>
      <c r="D61" s="2562"/>
      <c r="F61" s="1590" t="s">
        <v>1788</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c r="AB61" s="1592"/>
      <c r="AC61" s="2554"/>
      <c r="AY61" s="1791">
        <v>79</v>
      </c>
    </row>
    <row r="62" spans="1:51" s="1515" customFormat="1" ht="15.95" customHeight="1">
      <c r="A62" s="1517"/>
      <c r="B62" s="1552" t="s">
        <v>208</v>
      </c>
      <c r="C62" s="3308" t="s">
        <v>1789</v>
      </c>
      <c r="D62" s="3308"/>
      <c r="E62" s="3308"/>
      <c r="F62" s="3308"/>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9.1" customHeight="1">
      <c r="A63" s="1530"/>
      <c r="B63" s="1573"/>
      <c r="C63" s="3017" t="s">
        <v>1790</v>
      </c>
      <c r="D63" s="3017"/>
      <c r="E63" s="3017"/>
      <c r="F63" s="3017"/>
      <c r="G63" s="3017"/>
      <c r="H63" s="3017"/>
      <c r="I63" s="3017"/>
      <c r="J63" s="3017"/>
      <c r="K63" s="3017"/>
      <c r="L63" s="3017"/>
      <c r="M63" s="3017"/>
      <c r="N63" s="3017"/>
      <c r="O63" s="3017"/>
      <c r="P63" s="3017"/>
      <c r="Q63" s="3017"/>
      <c r="R63" s="3017"/>
      <c r="S63" s="3017"/>
      <c r="T63" s="3017"/>
      <c r="U63" s="3017"/>
      <c r="V63" s="3017"/>
      <c r="W63" s="3017"/>
      <c r="X63" s="3017"/>
      <c r="Y63" s="1620"/>
      <c r="Z63" s="1593"/>
      <c r="AA63" s="1460"/>
      <c r="AB63" s="1594"/>
      <c r="AY63" s="1791">
        <v>81</v>
      </c>
    </row>
    <row r="64" spans="1:51" ht="44.25" customHeight="1">
      <c r="A64" s="1530"/>
      <c r="B64" s="1573"/>
      <c r="C64" s="3313" t="s">
        <v>1791</v>
      </c>
      <c r="D64" s="3313"/>
      <c r="E64" s="3313"/>
      <c r="F64" s="3313"/>
      <c r="G64" s="3313"/>
      <c r="H64" s="3313"/>
      <c r="I64" s="3313"/>
      <c r="J64" s="3313"/>
      <c r="K64" s="3313"/>
      <c r="L64" s="3313"/>
      <c r="M64" s="3313"/>
      <c r="N64" s="3313"/>
      <c r="O64" s="3313"/>
      <c r="P64" s="3313"/>
      <c r="Q64" s="3313"/>
      <c r="R64" s="3313"/>
      <c r="S64" s="3313"/>
      <c r="T64" s="3313"/>
      <c r="U64" s="3313"/>
      <c r="V64" s="3313"/>
      <c r="W64" s="3313"/>
      <c r="X64" s="3313"/>
      <c r="Y64" s="1515"/>
      <c r="Z64" s="1595"/>
      <c r="AA64" s="1450"/>
      <c r="AB64" s="1553"/>
      <c r="AY64" s="1791">
        <v>82</v>
      </c>
    </row>
    <row r="65" spans="1:51" ht="13.5" customHeight="1">
      <c r="A65" s="1515"/>
      <c r="B65" s="1533" t="s">
        <v>1792</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60" customHeight="1">
      <c r="A66" s="3123" t="s">
        <v>670</v>
      </c>
      <c r="B66" s="3124"/>
      <c r="C66" s="3124"/>
      <c r="D66" s="3124"/>
      <c r="E66" s="3124"/>
      <c r="F66" s="3124"/>
      <c r="G66" s="3124"/>
      <c r="H66" s="3124"/>
      <c r="I66" s="3124"/>
      <c r="J66" s="3124"/>
      <c r="K66" s="3124"/>
      <c r="L66" s="3124"/>
      <c r="M66" s="3124"/>
      <c r="N66" s="3124"/>
      <c r="O66" s="3124"/>
      <c r="P66" s="3124"/>
      <c r="Q66" s="3124"/>
      <c r="R66" s="3124"/>
      <c r="S66" s="3124"/>
      <c r="T66" s="3124"/>
      <c r="U66" s="3124"/>
      <c r="V66" s="3124"/>
      <c r="W66" s="3124"/>
      <c r="X66" s="3124"/>
      <c r="Y66" s="3124"/>
      <c r="Z66" s="3124"/>
      <c r="AA66" s="3124"/>
      <c r="AB66" s="3125"/>
      <c r="AC66" s="1574"/>
      <c r="AY66" s="1791">
        <v>84</v>
      </c>
    </row>
    <row r="67" spans="1:51" s="1515" customFormat="1" ht="13.5" customHeight="1">
      <c r="B67" s="1596" t="s">
        <v>1452</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018"/>
      <c r="B68" s="3019"/>
      <c r="C68" s="3019"/>
      <c r="D68" s="3019"/>
      <c r="E68" s="3019"/>
      <c r="F68" s="3019"/>
      <c r="G68" s="3019"/>
      <c r="H68" s="3019"/>
      <c r="I68" s="3019"/>
      <c r="J68" s="3019"/>
      <c r="K68" s="3019"/>
      <c r="L68" s="3019"/>
      <c r="M68" s="3019"/>
      <c r="N68" s="3019"/>
      <c r="O68" s="3019"/>
      <c r="P68" s="3019"/>
      <c r="Q68" s="3019"/>
      <c r="R68" s="3019"/>
      <c r="S68" s="3019"/>
      <c r="T68" s="3019"/>
      <c r="U68" s="3019"/>
      <c r="V68" s="3019"/>
      <c r="W68" s="3019"/>
      <c r="X68" s="3019"/>
      <c r="Y68" s="3019"/>
      <c r="Z68" s="3019"/>
      <c r="AA68" s="3019"/>
      <c r="AB68" s="3020"/>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5.95" customHeight="1">
      <c r="A71" s="1598" t="s">
        <v>57</v>
      </c>
      <c r="B71" s="1535" t="s">
        <v>1793</v>
      </c>
      <c r="E71" s="1535"/>
      <c r="F71" s="1535"/>
      <c r="T71" s="1546"/>
      <c r="U71" s="1546"/>
      <c r="V71" s="1546"/>
      <c r="W71" s="1546"/>
      <c r="X71" s="1542" t="s">
        <v>1743</v>
      </c>
      <c r="Y71" s="1517">
        <v>10</v>
      </c>
      <c r="Z71" s="2557"/>
      <c r="AA71" s="1543">
        <f>IF(AA72-AA73&lt;$Y$71,MIN($Y$71,AA72-AA73+AA76),$Y$71)</f>
        <v>10</v>
      </c>
      <c r="AB71" s="1543">
        <f>IF(AB77="Yes",0,IF(AB72-AB73&lt;$Y$71,MIN($Y$71,AB72-AB73+AB76),$Y$71))</f>
        <v>10</v>
      </c>
      <c r="AC71" s="1544" t="s">
        <v>1744</v>
      </c>
      <c r="AY71" s="1791">
        <v>89</v>
      </c>
    </row>
    <row r="72" spans="1:51" s="1515" customFormat="1" ht="15.95" customHeight="1">
      <c r="A72" s="1598"/>
      <c r="B72" s="1523" t="s">
        <v>1794</v>
      </c>
      <c r="E72" s="1535"/>
      <c r="F72" s="1535"/>
      <c r="X72" s="1546"/>
      <c r="Y72" s="1517"/>
      <c r="Z72" s="2557"/>
      <c r="AA72" s="1599">
        <v>10</v>
      </c>
      <c r="AB72" s="1599">
        <v>10</v>
      </c>
      <c r="AC72" s="1544"/>
      <c r="AY72" s="1791">
        <v>91</v>
      </c>
    </row>
    <row r="73" spans="1:51" s="1515" customFormat="1" ht="15.95" customHeight="1">
      <c r="A73" s="1517" t="s">
        <v>185</v>
      </c>
      <c r="B73" s="1523" t="s">
        <v>1795</v>
      </c>
      <c r="E73" s="1535"/>
      <c r="F73" s="1535"/>
      <c r="X73" s="1546"/>
      <c r="Y73" s="1517"/>
      <c r="Z73" s="2557"/>
      <c r="AA73" s="2779">
        <f>SUM(AA74:AA75)</f>
        <v>0</v>
      </c>
      <c r="AB73" s="2779">
        <f>SUM(AB74:AB75)</f>
        <v>0</v>
      </c>
      <c r="AC73" s="1544"/>
      <c r="AY73" s="1791">
        <v>92</v>
      </c>
    </row>
    <row r="74" spans="1:51" s="1515" customFormat="1" ht="15.95" customHeight="1">
      <c r="A74" s="1517"/>
      <c r="B74" s="1550" t="s">
        <v>200</v>
      </c>
      <c r="C74" s="1515" t="s">
        <v>1796</v>
      </c>
      <c r="E74" s="1535"/>
      <c r="F74" s="1535"/>
      <c r="X74" s="1546"/>
      <c r="Y74" s="1600"/>
      <c r="Z74" s="2557"/>
      <c r="AA74" s="1461">
        <v>0</v>
      </c>
      <c r="AB74" s="1601"/>
      <c r="AC74" s="1544"/>
      <c r="AY74" s="1790">
        <v>93</v>
      </c>
    </row>
    <row r="75" spans="1:51" s="1515" customFormat="1" ht="15.95" customHeight="1">
      <c r="A75" s="1517"/>
      <c r="B75" s="1552" t="s">
        <v>208</v>
      </c>
      <c r="C75" s="1515" t="s">
        <v>1797</v>
      </c>
      <c r="E75" s="1535"/>
      <c r="F75" s="1535"/>
      <c r="X75" s="1546"/>
      <c r="Y75" s="1600"/>
      <c r="Z75" s="2557"/>
      <c r="AA75" s="1511">
        <v>0</v>
      </c>
      <c r="AB75" s="1602"/>
      <c r="AC75" s="1544"/>
      <c r="AY75" s="1791">
        <v>94</v>
      </c>
    </row>
    <row r="76" spans="1:51" s="1515" customFormat="1" ht="15.95" customHeight="1">
      <c r="A76" s="1517" t="s">
        <v>197</v>
      </c>
      <c r="B76" s="1523" t="s">
        <v>1798</v>
      </c>
      <c r="E76" s="1535"/>
      <c r="F76" s="1535"/>
      <c r="X76" s="1546"/>
      <c r="Y76" s="1517"/>
      <c r="Z76" s="2557"/>
      <c r="AA76" s="2788"/>
      <c r="AB76" s="2789"/>
      <c r="AC76" s="1544"/>
      <c r="AY76" s="1790">
        <v>95</v>
      </c>
    </row>
    <row r="77" spans="1:51" s="1515" customFormat="1" ht="15.75" customHeight="1">
      <c r="A77" s="1533"/>
      <c r="B77" s="1533" t="s">
        <v>1452</v>
      </c>
      <c r="E77" s="1533"/>
      <c r="F77" s="2574"/>
      <c r="G77" s="2574"/>
      <c r="H77" s="2574"/>
      <c r="I77" s="2574"/>
      <c r="J77" s="2574"/>
      <c r="K77" s="1515" t="s">
        <v>1799</v>
      </c>
      <c r="T77" s="2574"/>
      <c r="U77" s="2574"/>
      <c r="V77" s="2574"/>
      <c r="W77" s="2574"/>
      <c r="X77" s="2574"/>
      <c r="Y77" s="2574"/>
      <c r="Z77" s="2558"/>
      <c r="AA77" s="2575"/>
      <c r="AB77" s="2790"/>
      <c r="AY77" s="1790">
        <v>96</v>
      </c>
    </row>
    <row r="78" spans="1:51" ht="15" customHeight="1">
      <c r="A78" s="3018"/>
      <c r="B78" s="3019"/>
      <c r="C78" s="3019"/>
      <c r="D78" s="3019"/>
      <c r="E78" s="3019"/>
      <c r="F78" s="3019"/>
      <c r="G78" s="3019"/>
      <c r="H78" s="3019"/>
      <c r="I78" s="3019"/>
      <c r="J78" s="3019"/>
      <c r="K78" s="3019"/>
      <c r="L78" s="3019"/>
      <c r="M78" s="3019"/>
      <c r="N78" s="3019"/>
      <c r="O78" s="3019"/>
      <c r="P78" s="3019"/>
      <c r="Q78" s="3019"/>
      <c r="R78" s="3019"/>
      <c r="S78" s="3019"/>
      <c r="T78" s="3019"/>
      <c r="U78" s="3019"/>
      <c r="V78" s="3019"/>
      <c r="W78" s="3019"/>
      <c r="X78" s="3019"/>
      <c r="Y78" s="3019"/>
      <c r="Z78" s="3019"/>
      <c r="AA78" s="3019"/>
      <c r="AB78" s="3020"/>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5.95" customHeight="1">
      <c r="A81" s="1598" t="s">
        <v>66</v>
      </c>
      <c r="B81" s="1535" t="s">
        <v>1800</v>
      </c>
      <c r="C81" s="2559"/>
      <c r="D81" s="2559"/>
      <c r="E81" s="2559"/>
      <c r="F81" s="2559"/>
      <c r="G81" s="2559"/>
      <c r="H81" s="1603" t="s">
        <v>1801</v>
      </c>
      <c r="I81" s="2559"/>
      <c r="T81" s="2559"/>
      <c r="U81" s="2559"/>
      <c r="V81" s="2559"/>
      <c r="W81" s="2559"/>
      <c r="X81" s="1542" t="s">
        <v>1743</v>
      </c>
      <c r="Y81" s="1517">
        <v>5</v>
      </c>
      <c r="Z81" s="1565"/>
      <c r="AA81" s="1543">
        <f>IF(OR((AA82+AA88+AA89)&gt;$Y81,(AA82+AA88)&gt;$Y82,AA89&gt;$Y$89),"Check",IF((AA82+AA88+AA89)&lt;=$Y$81,(AA82+AA88+AA89),""))</f>
        <v>4</v>
      </c>
      <c r="AB81" s="1543">
        <f>IF(OR((AB82+AB88+AB89)&gt;$Y81,(AB82+AB88)&gt;$Y82,AB89&gt;$Y$89),"Check",IF((AB82+AB88+AB89)&lt;=$Y$81,(AB82+AB88+AB89),""))</f>
        <v>2</v>
      </c>
      <c r="AC81" s="1544" t="s">
        <v>1744</v>
      </c>
      <c r="AD81" s="2554"/>
      <c r="AY81" s="1791">
        <v>100</v>
      </c>
    </row>
    <row r="82" spans="1:51" ht="15.95" customHeight="1">
      <c r="A82" s="1517" t="s">
        <v>185</v>
      </c>
      <c r="B82" s="1523" t="s">
        <v>1802</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2</v>
      </c>
      <c r="AB82" s="1770">
        <f>IF(AND(AB84&gt;0,AB85&gt;0),"1or2?",MIN($Y82,SUM(AB84,AB85)))</f>
        <v>0</v>
      </c>
      <c r="AC82" s="1549"/>
      <c r="AD82" s="2554"/>
      <c r="AY82" s="1791">
        <v>101</v>
      </c>
    </row>
    <row r="83" spans="1:51" ht="31.5" customHeight="1">
      <c r="A83" s="1517"/>
      <c r="B83" s="3025" t="s">
        <v>1803</v>
      </c>
      <c r="C83" s="3025"/>
      <c r="D83" s="3025"/>
      <c r="E83" s="3025"/>
      <c r="F83" s="3025"/>
      <c r="G83" s="3025"/>
      <c r="H83" s="3025"/>
      <c r="I83" s="3025"/>
      <c r="J83" s="3025"/>
      <c r="K83" s="3025"/>
      <c r="L83" s="3025"/>
      <c r="M83" s="3025"/>
      <c r="N83" s="3025"/>
      <c r="O83" s="3025"/>
      <c r="P83" s="3025"/>
      <c r="Q83" s="3025"/>
      <c r="R83" s="3025"/>
      <c r="S83" s="3025"/>
      <c r="T83" s="3025"/>
      <c r="U83" s="3025"/>
      <c r="V83" s="3025"/>
      <c r="W83" s="3025"/>
      <c r="X83" s="3025"/>
      <c r="Y83" s="2557"/>
      <c r="Z83" s="2557"/>
      <c r="AA83" s="2557"/>
      <c r="AB83" s="2557"/>
      <c r="AC83" s="1549"/>
      <c r="AD83" s="2554"/>
      <c r="AY83" s="1791">
        <v>102</v>
      </c>
    </row>
    <row r="84" spans="1:51" s="1557" customFormat="1" ht="15.95" customHeight="1">
      <c r="A84" s="1517"/>
      <c r="B84" s="1814" t="s">
        <v>200</v>
      </c>
      <c r="C84" s="1515" t="s">
        <v>1804</v>
      </c>
      <c r="D84" s="1515"/>
      <c r="E84" s="2563"/>
      <c r="F84" s="2563"/>
      <c r="G84" s="2563"/>
      <c r="H84" s="1515"/>
      <c r="I84" s="2563"/>
      <c r="J84" s="2563"/>
      <c r="K84"/>
      <c r="L84"/>
      <c r="M84"/>
      <c r="N84"/>
      <c r="O84"/>
      <c r="Q84" s="2461"/>
      <c r="R84" s="2461"/>
      <c r="S84" s="2461"/>
      <c r="T84" s="3318" t="s">
        <v>1534</v>
      </c>
      <c r="U84" s="3319"/>
      <c r="V84" s="3320"/>
      <c r="W84" s="2461"/>
      <c r="X84" s="2461"/>
      <c r="Y84" s="2418">
        <v>2</v>
      </c>
      <c r="Z84" s="2419"/>
      <c r="AA84" s="2791">
        <v>2</v>
      </c>
      <c r="AB84" s="2792"/>
      <c r="AC84" s="1549" t="str">
        <f>IF(OR($AA84=$Y84,$AA84=0,$AA84=""),"","*CHECK!*")</f>
        <v/>
      </c>
      <c r="AD84" s="2554"/>
      <c r="AY84" s="1790">
        <v>103</v>
      </c>
    </row>
    <row r="85" spans="1:51" s="1557" customFormat="1" ht="15.95" customHeight="1">
      <c r="A85" s="1517"/>
      <c r="B85" s="1657" t="s">
        <v>208</v>
      </c>
      <c r="C85" s="1515" t="s">
        <v>1805</v>
      </c>
      <c r="D85" s="1515"/>
      <c r="E85" s="2563"/>
      <c r="F85" s="2563"/>
      <c r="G85" s="2563"/>
      <c r="H85" s="1515"/>
      <c r="I85" s="2563"/>
      <c r="K85"/>
      <c r="L85"/>
      <c r="M85"/>
      <c r="N85"/>
      <c r="O85"/>
      <c r="Q85" s="2462"/>
      <c r="R85" s="2462"/>
      <c r="S85" s="2462"/>
      <c r="T85" s="2465" t="s">
        <v>1536</v>
      </c>
      <c r="U85" s="3314" t="s">
        <v>1806</v>
      </c>
      <c r="V85" s="3315"/>
      <c r="W85" s="2462"/>
      <c r="Y85" s="2418">
        <v>3</v>
      </c>
      <c r="Z85" s="2419"/>
      <c r="AA85" s="2793"/>
      <c r="AB85" s="2794"/>
      <c r="AC85" s="1549" t="str">
        <f>IF(OR($AA85=$Y85,$AA85=0,$AA85=""),"","*CHECK!*")</f>
        <v/>
      </c>
      <c r="AD85" s="2554"/>
      <c r="AY85" s="1791">
        <v>104</v>
      </c>
    </row>
    <row r="86" spans="1:51">
      <c r="B86" s="3096" t="s">
        <v>1807</v>
      </c>
      <c r="C86" s="3096"/>
      <c r="D86" s="3096"/>
      <c r="E86" s="3096"/>
      <c r="F86" s="3096"/>
      <c r="G86" s="3096"/>
      <c r="H86" s="3096"/>
      <c r="I86" s="3096"/>
      <c r="J86" s="3096"/>
      <c r="K86" s="3096"/>
      <c r="L86" s="3096"/>
      <c r="M86" s="3096"/>
      <c r="N86" s="3096"/>
      <c r="O86" s="3096"/>
      <c r="Q86" s="2463"/>
      <c r="R86" s="2463"/>
      <c r="S86" s="2463"/>
      <c r="T86" s="2466">
        <f>'Part V-Revenues &amp; Expenses'!P76*'Part VIII Scoring Criteria'!U86</f>
        <v>6</v>
      </c>
      <c r="U86" s="3316">
        <f>IF('Part I-Project Identification'!F12 ="9% Credits",0.1,IF('Part I-Project Identification'!F12="4% Credits/Bonds",0.05,""))</f>
        <v>0.1</v>
      </c>
      <c r="V86" s="3317"/>
      <c r="W86" s="2464"/>
      <c r="Z86" s="1542" t="s">
        <v>1808</v>
      </c>
      <c r="AA86" s="1448">
        <v>6</v>
      </c>
      <c r="AB86" s="1609"/>
      <c r="AF86" s="1541"/>
      <c r="AG86" s="1541"/>
      <c r="AY86" s="1790">
        <v>105</v>
      </c>
    </row>
    <row r="87" spans="1:51" ht="45" hidden="1" customHeight="1">
      <c r="B87" s="1581" t="s">
        <v>252</v>
      </c>
      <c r="C87" s="3025" t="s">
        <v>1809</v>
      </c>
      <c r="D87" s="3025"/>
      <c r="E87" s="3025"/>
      <c r="F87" s="3025"/>
      <c r="G87" s="3025"/>
      <c r="H87" s="3025"/>
      <c r="I87" s="3025"/>
      <c r="J87" s="3025"/>
      <c r="K87" s="3025"/>
      <c r="L87" s="3025"/>
      <c r="M87" s="3025"/>
      <c r="N87" s="3025"/>
      <c r="O87" s="3025"/>
      <c r="P87" s="3025"/>
      <c r="Q87" s="3025"/>
      <c r="R87" s="3025"/>
      <c r="S87" s="3025"/>
      <c r="T87" s="3025"/>
      <c r="U87" s="3025"/>
      <c r="V87" s="3025"/>
      <c r="W87" s="3025"/>
      <c r="X87" s="3025"/>
      <c r="AA87" s="1456"/>
      <c r="AB87" s="1556"/>
      <c r="AF87" s="1541"/>
      <c r="AG87" s="1541"/>
      <c r="AY87" s="1790">
        <v>106</v>
      </c>
    </row>
    <row r="88" spans="1:51" ht="15.95" customHeight="1">
      <c r="A88" s="1517" t="s">
        <v>197</v>
      </c>
      <c r="B88" s="1523" t="s">
        <v>1810</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c r="AB88" s="2789"/>
      <c r="AC88" s="1549" t="str">
        <f>IF(OR($AA88=$Y88,$AA88=0,$AA88=""),"","*CHECK!*")</f>
        <v/>
      </c>
      <c r="AD88" s="2554"/>
      <c r="AY88" s="1790">
        <v>107</v>
      </c>
    </row>
    <row r="89" spans="1:51" s="1515" customFormat="1" ht="15.95" customHeight="1">
      <c r="A89" s="1517" t="s">
        <v>218</v>
      </c>
      <c r="B89" s="1523" t="s">
        <v>1811</v>
      </c>
      <c r="H89" s="1605" t="s">
        <v>1812</v>
      </c>
      <c r="Y89" s="2557">
        <v>2</v>
      </c>
      <c r="Z89" s="1604"/>
      <c r="AA89" s="2779">
        <f>AA90-AA91</f>
        <v>2</v>
      </c>
      <c r="AB89" s="2779">
        <f>AB90-AB91</f>
        <v>2</v>
      </c>
      <c r="AC89" s="1549" t="str">
        <f>IF(OR($AA89=$Y89,$AA89=0,$AA89=""),"","*CHECK!*")</f>
        <v/>
      </c>
      <c r="AY89" s="1790">
        <v>108</v>
      </c>
    </row>
    <row r="90" spans="1:51" s="1515" customFormat="1" ht="15.95" customHeight="1">
      <c r="A90" s="1598"/>
      <c r="C90" s="1523" t="s">
        <v>1794</v>
      </c>
      <c r="D90" s="1523"/>
      <c r="E90" s="1535"/>
      <c r="F90" s="1535"/>
      <c r="X90" s="1546"/>
      <c r="Y90" s="1517"/>
      <c r="Z90" s="2557"/>
      <c r="AA90" s="2796">
        <v>2</v>
      </c>
      <c r="AB90" s="2796">
        <v>2</v>
      </c>
      <c r="AC90" s="1544"/>
      <c r="AY90" s="1790">
        <v>109</v>
      </c>
    </row>
    <row r="91" spans="1:51" s="1515" customFormat="1" ht="15.95" customHeight="1">
      <c r="A91" s="1598"/>
      <c r="C91" s="1523" t="s">
        <v>1813</v>
      </c>
      <c r="D91" s="1523"/>
      <c r="E91" s="1535"/>
      <c r="F91" s="1535"/>
      <c r="X91" s="1546"/>
      <c r="Y91" s="1517"/>
      <c r="Z91" s="2557"/>
      <c r="AA91" s="2788"/>
      <c r="AB91" s="2789"/>
      <c r="AC91" s="1544"/>
      <c r="AD91" s="2554"/>
      <c r="AY91" s="1790">
        <v>110</v>
      </c>
    </row>
    <row r="92" spans="1:51" ht="15.95" customHeight="1">
      <c r="A92" s="1515"/>
      <c r="B92" s="1533" t="s">
        <v>1792</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90" customHeight="1">
      <c r="A93" s="3123" t="s">
        <v>7736</v>
      </c>
      <c r="B93" s="3124"/>
      <c r="C93" s="3124"/>
      <c r="D93" s="3124"/>
      <c r="E93" s="3124"/>
      <c r="F93" s="3124"/>
      <c r="G93" s="3124"/>
      <c r="H93" s="3124"/>
      <c r="I93" s="3124"/>
      <c r="J93" s="3124"/>
      <c r="K93" s="3124"/>
      <c r="L93" s="3124"/>
      <c r="M93" s="3124"/>
      <c r="N93" s="3124"/>
      <c r="O93" s="3124"/>
      <c r="P93" s="3124"/>
      <c r="Q93" s="3124"/>
      <c r="R93" s="3124"/>
      <c r="S93" s="3124"/>
      <c r="T93" s="3124"/>
      <c r="U93" s="3124"/>
      <c r="V93" s="3124"/>
      <c r="W93" s="3124"/>
      <c r="X93" s="3124"/>
      <c r="Y93" s="3124"/>
      <c r="Z93" s="3124"/>
      <c r="AA93" s="3124"/>
      <c r="AB93" s="3125"/>
      <c r="AC93" s="1574"/>
      <c r="AD93" s="1574"/>
      <c r="AY93" s="1791">
        <v>112</v>
      </c>
    </row>
    <row r="94" spans="1:51" ht="15.95" customHeight="1">
      <c r="B94" s="1562" t="s">
        <v>1452</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018"/>
      <c r="B95" s="3019"/>
      <c r="C95" s="3019"/>
      <c r="D95" s="3019"/>
      <c r="E95" s="3019"/>
      <c r="F95" s="3019"/>
      <c r="G95" s="3019"/>
      <c r="H95" s="3019"/>
      <c r="I95" s="3019"/>
      <c r="J95" s="3019"/>
      <c r="K95" s="3019"/>
      <c r="L95" s="3019"/>
      <c r="M95" s="3019"/>
      <c r="N95" s="3019"/>
      <c r="O95" s="3019"/>
      <c r="P95" s="3019"/>
      <c r="Q95" s="3019"/>
      <c r="R95" s="3019"/>
      <c r="S95" s="3019"/>
      <c r="T95" s="3019"/>
      <c r="U95" s="3019"/>
      <c r="V95" s="3019"/>
      <c r="W95" s="3019"/>
      <c r="X95" s="3019"/>
      <c r="Y95" s="3019"/>
      <c r="Z95" s="3019"/>
      <c r="AA95" s="3019"/>
      <c r="AB95" s="3020"/>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5.95" customHeight="1">
      <c r="A98" s="1598" t="s">
        <v>68</v>
      </c>
      <c r="B98" s="1535" t="s">
        <v>1814</v>
      </c>
      <c r="E98" s="1535"/>
      <c r="F98" s="1535"/>
      <c r="G98" s="2557"/>
      <c r="H98" s="2557"/>
      <c r="I98" s="2557"/>
      <c r="J98" s="2572"/>
      <c r="K98" s="2572"/>
      <c r="L98" s="2572"/>
      <c r="M98" s="2572"/>
      <c r="N98" s="2572"/>
      <c r="O98" s="2572"/>
      <c r="P98" s="2572"/>
      <c r="Q98" s="2421"/>
      <c r="R98" s="2424" t="s">
        <v>1815</v>
      </c>
      <c r="S98" s="2424"/>
      <c r="T98" s="2424"/>
      <c r="U98" s="2424"/>
      <c r="V98" s="2424"/>
      <c r="W98" s="2424"/>
      <c r="X98" s="1542" t="s">
        <v>1743</v>
      </c>
      <c r="Y98" s="1517">
        <v>15</v>
      </c>
      <c r="Z98" s="2557"/>
      <c r="AA98" s="1543">
        <f>MIN($Y$98,AA99+AA101+SUM(AA104:AA112))</f>
        <v>15</v>
      </c>
      <c r="AB98" s="1543">
        <f>MIN($Y$98,AB99+AB101+SUM(AB104:AB112))</f>
        <v>0</v>
      </c>
      <c r="AC98" s="1544" t="s">
        <v>1744</v>
      </c>
      <c r="AD98" s="2554"/>
      <c r="AY98" s="1791">
        <v>117</v>
      </c>
    </row>
    <row r="99" spans="1:51" s="1515" customFormat="1" ht="15.95" customHeight="1">
      <c r="A99" s="1517"/>
      <c r="B99" s="1571" t="s">
        <v>200</v>
      </c>
      <c r="C99" s="1515" t="s">
        <v>1816</v>
      </c>
      <c r="E99" s="1523"/>
      <c r="G99" s="1606"/>
      <c r="I99" s="1547"/>
      <c r="J99" s="2420"/>
      <c r="K99" s="2422"/>
      <c r="L99" s="2421"/>
      <c r="M99" s="2422"/>
      <c r="N99" s="2422"/>
      <c r="O99" s="2422"/>
      <c r="P99" s="2422"/>
      <c r="Q99" s="2422"/>
      <c r="R99" s="2422"/>
      <c r="S99" s="2422"/>
      <c r="T99" s="3036" t="s">
        <v>7698</v>
      </c>
      <c r="U99" s="3038"/>
      <c r="V99" s="1512"/>
      <c r="W99" s="1512"/>
      <c r="X99" s="1512"/>
      <c r="Y99" s="1591">
        <v>2</v>
      </c>
      <c r="Z99" s="1547"/>
      <c r="AA99" s="2797" t="str">
        <f>IF(OR($T99="Submitted",$T99="N/A-9%"),"2","0")</f>
        <v>2</v>
      </c>
      <c r="AB99" s="2798">
        <v>0</v>
      </c>
      <c r="AC99" s="1607"/>
      <c r="AD99" s="2554"/>
      <c r="AY99" s="1790"/>
    </row>
    <row r="100" spans="1:51" s="1515" customFormat="1" ht="15.95" customHeight="1">
      <c r="A100" s="1517"/>
      <c r="B100" s="1523" t="s">
        <v>1817</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5.95" customHeight="1">
      <c r="A101" s="1517"/>
      <c r="B101" s="1550" t="s">
        <v>208</v>
      </c>
      <c r="C101" s="2571" t="s">
        <v>1818</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5.95" customHeight="1">
      <c r="A102" s="1517"/>
      <c r="B102" s="1814"/>
      <c r="C102" s="1523"/>
      <c r="D102" s="1523"/>
      <c r="E102" s="2562" t="s">
        <v>1819</v>
      </c>
      <c r="G102" s="1517"/>
      <c r="J102" s="2420"/>
      <c r="K102" s="2421"/>
      <c r="L102" s="2422"/>
      <c r="M102" s="2422"/>
      <c r="N102" s="2422"/>
      <c r="O102" s="2422"/>
      <c r="P102" s="2422"/>
      <c r="Q102" s="2422"/>
      <c r="R102" s="2422"/>
      <c r="S102" s="2422"/>
      <c r="T102" s="3309" t="s">
        <v>7697</v>
      </c>
      <c r="U102" s="3310"/>
      <c r="Y102" s="1591"/>
      <c r="Z102" s="1547"/>
      <c r="AA102" s="2798" t="str">
        <f>IF(OR($T102="Submitted",$T102="N/A"), "Yes","")</f>
        <v>Yes</v>
      </c>
      <c r="AB102" s="2778"/>
      <c r="AC102" s="1547"/>
      <c r="AH102" s="1541"/>
      <c r="AY102" s="1790">
        <v>122</v>
      </c>
    </row>
    <row r="103" spans="1:51" s="1515" customFormat="1" ht="15.95" customHeight="1">
      <c r="A103" s="1517"/>
      <c r="B103" s="1657"/>
      <c r="C103" s="1523"/>
      <c r="D103" s="1523"/>
      <c r="E103" s="2562" t="s">
        <v>1820</v>
      </c>
      <c r="G103" s="1762"/>
      <c r="J103" s="2420"/>
      <c r="K103" s="2421"/>
      <c r="L103" s="2422"/>
      <c r="M103" s="2422"/>
      <c r="N103" s="2422"/>
      <c r="O103" s="2422"/>
      <c r="P103" s="2422"/>
      <c r="Q103" s="2422"/>
      <c r="R103" s="2422"/>
      <c r="S103" s="2422"/>
      <c r="T103" s="3128" t="s">
        <v>7697</v>
      </c>
      <c r="U103" s="3129"/>
      <c r="V103" s="1547"/>
      <c r="W103" s="1547"/>
      <c r="Y103" s="1591"/>
      <c r="Z103" s="1547"/>
      <c r="AA103" s="1761" t="str">
        <f>IF(OR($T103="Submitted",$T103="N/A"), "Yes","")</f>
        <v>Yes</v>
      </c>
      <c r="AB103" s="1556"/>
      <c r="AC103" s="1547"/>
      <c r="AH103" s="1541"/>
      <c r="AY103" s="1790">
        <v>123</v>
      </c>
    </row>
    <row r="104" spans="1:51" s="1515" customFormat="1" ht="15.95" customHeight="1">
      <c r="A104" s="1517"/>
      <c r="B104" s="1657" t="s">
        <v>212</v>
      </c>
      <c r="C104" s="2562" t="s">
        <v>1821</v>
      </c>
      <c r="D104" s="2562"/>
      <c r="E104" s="1523"/>
      <c r="G104" s="1517"/>
      <c r="J104" s="2420"/>
      <c r="K104" s="2421"/>
      <c r="L104" s="2422"/>
      <c r="M104" s="2422"/>
      <c r="N104" s="2422"/>
      <c r="O104" s="2422"/>
      <c r="P104" s="2422"/>
      <c r="Q104" s="2422"/>
      <c r="R104" s="2422"/>
      <c r="S104" s="2422"/>
      <c r="T104" s="3311" t="s">
        <v>7697</v>
      </c>
      <c r="U104" s="3312"/>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5.95" customHeight="1">
      <c r="A105" s="1517"/>
      <c r="B105" s="1657" t="s">
        <v>252</v>
      </c>
      <c r="C105" s="2562" t="s">
        <v>1822</v>
      </c>
      <c r="D105" s="2562"/>
      <c r="E105" s="1523"/>
      <c r="G105" s="1517"/>
      <c r="J105" s="2420"/>
      <c r="K105" s="2421"/>
      <c r="L105" s="2422"/>
      <c r="M105" s="2422"/>
      <c r="N105" s="2422"/>
      <c r="O105" s="2422"/>
      <c r="P105" s="2422"/>
      <c r="Q105" s="2422"/>
      <c r="R105" s="2422"/>
      <c r="S105" s="2422"/>
      <c r="T105" s="3126" t="s">
        <v>7697</v>
      </c>
      <c r="U105" s="3127"/>
      <c r="V105" s="2562"/>
      <c r="W105" s="2562"/>
      <c r="X105" s="1560" t="str">
        <f t="shared" si="0"/>
        <v/>
      </c>
      <c r="Y105" s="1591">
        <v>1</v>
      </c>
      <c r="Z105" s="1547"/>
      <c r="AA105" s="2508">
        <f>IF(OR($T105="Submitted",$T105="N/A"),1,"")</f>
        <v>1</v>
      </c>
      <c r="AB105" s="1609"/>
      <c r="AC105" s="2554"/>
      <c r="AH105" s="1541"/>
      <c r="AY105" s="1791">
        <v>125</v>
      </c>
    </row>
    <row r="106" spans="1:51" s="1515" customFormat="1" ht="15.95" customHeight="1">
      <c r="A106" s="1517"/>
      <c r="B106" s="1657" t="s">
        <v>254</v>
      </c>
      <c r="C106" s="2562" t="s">
        <v>1823</v>
      </c>
      <c r="D106" s="2562"/>
      <c r="E106" s="1523"/>
      <c r="G106" s="1517"/>
      <c r="J106" s="2420"/>
      <c r="K106" s="2421"/>
      <c r="L106" s="2422"/>
      <c r="M106" s="2422"/>
      <c r="N106" s="2422"/>
      <c r="O106" s="2422"/>
      <c r="P106" s="2422"/>
      <c r="Q106" s="2422"/>
      <c r="R106" s="2422"/>
      <c r="S106" s="2422"/>
      <c r="T106" s="3128" t="s">
        <v>7697</v>
      </c>
      <c r="U106" s="3129"/>
      <c r="V106" s="2562"/>
      <c r="W106" s="2562"/>
      <c r="X106" s="1546" t="str">
        <f t="shared" si="0"/>
        <v/>
      </c>
      <c r="Y106" s="1591">
        <v>1</v>
      </c>
      <c r="Z106" s="1547"/>
      <c r="AA106" s="1761">
        <f>IF(OR($T106="Submitted",$T106="N/A"),1,"")</f>
        <v>1</v>
      </c>
      <c r="AB106" s="1608"/>
      <c r="AC106" s="2554"/>
      <c r="AH106" s="1541"/>
      <c r="AY106" s="1791">
        <v>126</v>
      </c>
    </row>
    <row r="107" spans="1:51" s="1515" customFormat="1" ht="15.95" customHeight="1">
      <c r="A107" s="1517"/>
      <c r="B107" s="2571" t="s">
        <v>1824</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5.95" customHeight="1">
      <c r="A108" s="1517"/>
      <c r="B108" s="1814" t="s">
        <v>256</v>
      </c>
      <c r="C108" s="2562" t="s">
        <v>1825</v>
      </c>
      <c r="D108" s="2562"/>
      <c r="G108" s="2557"/>
      <c r="J108" s="2572"/>
      <c r="K108" s="2421"/>
      <c r="L108" s="2422"/>
      <c r="M108" s="2422"/>
      <c r="N108" s="2422"/>
      <c r="O108" s="2422"/>
      <c r="P108" s="2422"/>
      <c r="Q108" s="2422"/>
      <c r="R108" s="2422"/>
      <c r="S108" s="2422"/>
      <c r="T108" s="3309" t="s">
        <v>7697</v>
      </c>
      <c r="U108" s="3310"/>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258</v>
      </c>
      <c r="C109" s="1557" t="s">
        <v>1826</v>
      </c>
      <c r="D109" s="1557"/>
      <c r="E109" s="1557"/>
      <c r="F109" s="1557"/>
      <c r="G109" s="1557"/>
      <c r="H109" s="1557"/>
      <c r="I109" s="1557"/>
      <c r="J109" s="2409"/>
      <c r="K109" s="2421"/>
      <c r="L109" s="2422"/>
      <c r="M109" s="2422"/>
      <c r="N109" s="2422"/>
      <c r="O109" s="2422"/>
      <c r="P109" s="2422"/>
      <c r="Q109" s="2422"/>
      <c r="R109" s="2422"/>
      <c r="S109" s="2422"/>
      <c r="T109" s="3126" t="s">
        <v>7697</v>
      </c>
      <c r="U109" s="3127"/>
      <c r="V109" s="1557"/>
      <c r="W109" s="1557"/>
      <c r="X109" s="1546" t="str">
        <f t="shared" si="0"/>
        <v/>
      </c>
      <c r="Y109" s="1610">
        <v>1</v>
      </c>
      <c r="Z109" s="1559"/>
      <c r="AA109" s="2508">
        <f>IF(OR($T109="Submitted",$T109="N/A"),1,"")</f>
        <v>1</v>
      </c>
      <c r="AB109" s="1611"/>
      <c r="AC109" s="2554"/>
      <c r="AH109" s="1541"/>
      <c r="AY109" s="1791">
        <v>129</v>
      </c>
    </row>
    <row r="110" spans="1:51" s="1515" customFormat="1" ht="15.95" customHeight="1">
      <c r="A110" s="1517"/>
      <c r="B110" s="1657" t="s">
        <v>260</v>
      </c>
      <c r="C110" s="2562" t="s">
        <v>1827</v>
      </c>
      <c r="D110" s="2562"/>
      <c r="G110" s="1517"/>
      <c r="J110" s="2420"/>
      <c r="K110" s="2421"/>
      <c r="L110" s="2422"/>
      <c r="M110" s="2422"/>
      <c r="N110" s="2422"/>
      <c r="O110" s="2422"/>
      <c r="P110" s="2422"/>
      <c r="Q110" s="2422"/>
      <c r="R110" s="2422"/>
      <c r="S110" s="2422"/>
      <c r="T110" s="3126" t="s">
        <v>7697</v>
      </c>
      <c r="U110" s="3127"/>
      <c r="V110" s="2562"/>
      <c r="W110" s="2562"/>
      <c r="X110" s="1546" t="str">
        <f t="shared" si="0"/>
        <v/>
      </c>
      <c r="Y110" s="1591">
        <v>1</v>
      </c>
      <c r="Z110" s="1547"/>
      <c r="AA110" s="2508">
        <f>IF(OR($T110="Submitted",$T110="N/A"),1,"")</f>
        <v>1</v>
      </c>
      <c r="AB110" s="1609"/>
      <c r="AC110" s="2554"/>
      <c r="AH110" s="1541"/>
      <c r="AY110" s="1790">
        <v>130</v>
      </c>
    </row>
    <row r="111" spans="1:51" s="1515" customFormat="1" ht="15.95" customHeight="1">
      <c r="A111" s="1517"/>
      <c r="B111" s="1657" t="s">
        <v>262</v>
      </c>
      <c r="C111" s="2562" t="s">
        <v>1828</v>
      </c>
      <c r="D111" s="2562"/>
      <c r="G111" s="1517"/>
      <c r="J111" s="2420"/>
      <c r="K111" s="2421"/>
      <c r="L111" s="2422"/>
      <c r="M111" s="2422"/>
      <c r="N111" s="2422"/>
      <c r="O111" s="2422"/>
      <c r="P111" s="2422"/>
      <c r="Q111" s="2422"/>
      <c r="R111" s="2422"/>
      <c r="S111" s="2422"/>
      <c r="T111" s="3126" t="s">
        <v>7697</v>
      </c>
      <c r="U111" s="3127"/>
      <c r="V111" s="2562"/>
      <c r="W111" s="2562"/>
      <c r="X111" s="1546" t="str">
        <f t="shared" si="0"/>
        <v/>
      </c>
      <c r="Y111" s="1591">
        <v>1</v>
      </c>
      <c r="Z111" s="1547"/>
      <c r="AA111" s="2508">
        <f>IF(OR($T111="Submitted",$T111="N/A"),1,"")</f>
        <v>1</v>
      </c>
      <c r="AB111" s="1609"/>
      <c r="AC111" s="2554"/>
      <c r="AH111" s="1541"/>
      <c r="AY111" s="1790">
        <v>131</v>
      </c>
    </row>
    <row r="112" spans="1:51" s="1515" customFormat="1" ht="15.95" customHeight="1">
      <c r="A112" s="1517"/>
      <c r="B112" s="1657" t="s">
        <v>1768</v>
      </c>
      <c r="C112" s="2562" t="s">
        <v>1829</v>
      </c>
      <c r="D112" s="2562"/>
      <c r="G112" s="1517"/>
      <c r="J112" s="2420"/>
      <c r="K112" s="2421"/>
      <c r="L112" s="2422"/>
      <c r="M112" s="2422"/>
      <c r="N112" s="2422"/>
      <c r="O112" s="2422"/>
      <c r="P112" s="2422"/>
      <c r="Q112" s="2422"/>
      <c r="R112" s="2422"/>
      <c r="S112" s="2422"/>
      <c r="T112" s="3128" t="s">
        <v>670</v>
      </c>
      <c r="U112" s="3129"/>
      <c r="V112" s="2562"/>
      <c r="W112" s="2562"/>
      <c r="X112" s="1546" t="str">
        <f t="shared" si="0"/>
        <v/>
      </c>
      <c r="Y112" s="1591">
        <v>1</v>
      </c>
      <c r="Z112" s="1547"/>
      <c r="AA112" s="1761">
        <f>IF(OR($T112="Submitted",$T112="N/A"),1,"")</f>
        <v>1</v>
      </c>
      <c r="AB112" s="1608"/>
      <c r="AC112" s="2554"/>
      <c r="AH112" s="1541"/>
      <c r="AY112" s="1791">
        <v>132</v>
      </c>
    </row>
    <row r="113" spans="1:51" ht="15.95" customHeight="1">
      <c r="A113" s="1515"/>
      <c r="B113" s="1533" t="s">
        <v>1792</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60" customHeight="1">
      <c r="A114" s="3123" t="s">
        <v>7729</v>
      </c>
      <c r="B114" s="3124"/>
      <c r="C114" s="3124"/>
      <c r="D114" s="3124"/>
      <c r="E114" s="3124"/>
      <c r="F114" s="3124"/>
      <c r="G114" s="3124"/>
      <c r="H114" s="3124"/>
      <c r="I114" s="3124"/>
      <c r="J114" s="3124"/>
      <c r="K114" s="3124"/>
      <c r="L114" s="3124"/>
      <c r="M114" s="3124"/>
      <c r="N114" s="3124"/>
      <c r="O114" s="3124"/>
      <c r="P114" s="3124"/>
      <c r="Q114" s="3124"/>
      <c r="R114" s="3124"/>
      <c r="S114" s="3124"/>
      <c r="T114" s="3124"/>
      <c r="U114" s="3124"/>
      <c r="V114" s="3124"/>
      <c r="W114" s="3124"/>
      <c r="X114" s="3124"/>
      <c r="Y114" s="3124"/>
      <c r="Z114" s="3124"/>
      <c r="AA114" s="3124"/>
      <c r="AB114" s="3125"/>
      <c r="AC114" s="1574"/>
      <c r="AD114" s="1574"/>
      <c r="AY114" s="1790">
        <v>136</v>
      </c>
    </row>
    <row r="115" spans="1:51" s="1515" customFormat="1" ht="15.95" customHeight="1">
      <c r="A115" s="1533"/>
      <c r="B115" s="1533" t="s">
        <v>1452</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018"/>
      <c r="B116" s="3019"/>
      <c r="C116" s="3019"/>
      <c r="D116" s="3019"/>
      <c r="E116" s="3019"/>
      <c r="F116" s="3019"/>
      <c r="G116" s="3019"/>
      <c r="H116" s="3019"/>
      <c r="I116" s="3019"/>
      <c r="J116" s="3019"/>
      <c r="K116" s="3019"/>
      <c r="L116" s="3019"/>
      <c r="M116" s="3019"/>
      <c r="N116" s="3019"/>
      <c r="O116" s="3019"/>
      <c r="P116" s="3019"/>
      <c r="Q116" s="3019"/>
      <c r="R116" s="3019"/>
      <c r="S116" s="3019"/>
      <c r="T116" s="3019"/>
      <c r="U116" s="3019"/>
      <c r="V116" s="3019"/>
      <c r="W116" s="3019"/>
      <c r="X116" s="3019"/>
      <c r="Y116" s="3019"/>
      <c r="Z116" s="3019"/>
      <c r="AA116" s="3019"/>
      <c r="AB116" s="3020"/>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3130" t="s">
        <v>1830</v>
      </c>
      <c r="J118" s="3131"/>
      <c r="K118" s="3131"/>
      <c r="L118" s="3131"/>
      <c r="M118" s="3131"/>
      <c r="N118" s="3131"/>
      <c r="O118" s="3131"/>
      <c r="P118" s="3131"/>
      <c r="Q118" s="3131"/>
      <c r="R118" s="3131"/>
      <c r="S118" s="3131"/>
      <c r="T118" s="3131"/>
      <c r="U118" s="3131"/>
      <c r="V118" s="3131"/>
      <c r="W118" s="3131"/>
      <c r="X118" s="2562"/>
      <c r="Y118" s="2557"/>
      <c r="Z118" s="1517"/>
      <c r="AB118" s="1525"/>
      <c r="AY118" s="1790">
        <v>140</v>
      </c>
    </row>
    <row r="119" spans="1:51" s="1515" customFormat="1" ht="15.95" customHeight="1">
      <c r="A119" s="1534" t="s">
        <v>1481</v>
      </c>
      <c r="B119" s="1535" t="s">
        <v>1831</v>
      </c>
      <c r="H119" s="1523"/>
      <c r="I119" s="3131"/>
      <c r="J119" s="3131"/>
      <c r="K119" s="3131"/>
      <c r="L119" s="3131"/>
      <c r="M119" s="3131"/>
      <c r="N119" s="3131"/>
      <c r="O119" s="3131"/>
      <c r="P119" s="3131"/>
      <c r="Q119" s="3131"/>
      <c r="R119" s="3131"/>
      <c r="S119" s="3131"/>
      <c r="T119" s="3131"/>
      <c r="U119" s="3131"/>
      <c r="V119" s="3131"/>
      <c r="W119" s="3131"/>
      <c r="X119" s="1542" t="s">
        <v>1743</v>
      </c>
      <c r="Y119" s="1517">
        <v>3</v>
      </c>
      <c r="Z119" s="2557"/>
      <c r="AA119" s="1543">
        <f>IF($C$16="9%",MIN($Y$119,AA120+AA123),IF($C$16="4%",AA123,0))</f>
        <v>2</v>
      </c>
      <c r="AB119" s="1543">
        <f>IF($C$16="9%",MIN($Y$119,AB120+AB123),IF($C$16="4%",AB123,0))</f>
        <v>0</v>
      </c>
      <c r="AC119" s="1544" t="s">
        <v>1744</v>
      </c>
      <c r="AD119" s="1517" t="str">
        <f>$C$16</f>
        <v>9%</v>
      </c>
      <c r="AE119" s="1575"/>
      <c r="AY119" s="1790">
        <v>141</v>
      </c>
    </row>
    <row r="120" spans="1:51" s="1515" customFormat="1" ht="15.95" customHeight="1">
      <c r="A120" s="1517" t="s">
        <v>185</v>
      </c>
      <c r="B120" s="2571" t="s">
        <v>1832</v>
      </c>
      <c r="C120" s="2563"/>
      <c r="D120" s="2563"/>
      <c r="E120" s="2563"/>
      <c r="F120" s="2563"/>
      <c r="G120" s="2563"/>
      <c r="H120" s="1612"/>
      <c r="L120" s="1613"/>
      <c r="N120" s="1613"/>
      <c r="O120" s="1514" t="s">
        <v>630</v>
      </c>
      <c r="P120" s="1613"/>
      <c r="Q120" s="1613"/>
      <c r="R120" s="1613"/>
      <c r="S120" s="1613"/>
      <c r="V120" s="2425" t="str">
        <f>'Part V-Revenues &amp; Expenses'!$O$62</f>
        <v>Income Averaging</v>
      </c>
      <c r="W120" s="2426"/>
      <c r="X120" s="1613"/>
      <c r="Y120" s="1517">
        <v>2</v>
      </c>
      <c r="Z120" s="1573"/>
      <c r="AA120" s="2799">
        <f>IF($C$16="9%",MIN($Y120,AA121+AA122),0)</f>
        <v>2</v>
      </c>
      <c r="AB120" s="2799">
        <f>IF($C$16="9%",MIN($Y120,AB121+AB122),0)</f>
        <v>0</v>
      </c>
      <c r="AY120" s="1791">
        <v>143</v>
      </c>
    </row>
    <row r="121" spans="1:51" s="1515" customFormat="1" ht="15.95" customHeight="1">
      <c r="A121" s="1517"/>
      <c r="B121" s="1550" t="s">
        <v>200</v>
      </c>
      <c r="C121" s="1447" t="s">
        <v>1833</v>
      </c>
      <c r="D121" s="1447"/>
      <c r="J121" s="1614"/>
      <c r="O121" s="1515" t="s">
        <v>1834</v>
      </c>
      <c r="U121" s="2316"/>
      <c r="V121" s="3134">
        <f>'Part V-Revenues &amp; Expenses'!$B$59</f>
        <v>58</v>
      </c>
      <c r="W121" s="3135"/>
      <c r="X121" s="1546" t="str">
        <f t="shared" ref="X121:X122" si="1">IF(OR($AA121=$Y121,$AA121=0,$AA121=""),"","* * Check Score! * *")</f>
        <v/>
      </c>
      <c r="Y121" s="2557">
        <v>2</v>
      </c>
      <c r="Z121" s="1551"/>
      <c r="AA121" s="1448">
        <v>2</v>
      </c>
      <c r="AB121" s="2794"/>
      <c r="AC121" s="1607" t="str">
        <f>IF(OR($AA121=$Y121,$AA121=0,$AA121=""),"","*CHECK!*")</f>
        <v/>
      </c>
      <c r="AD121" s="2554"/>
      <c r="AY121" s="1791">
        <v>144</v>
      </c>
    </row>
    <row r="122" spans="1:51" s="1515" customFormat="1" ht="15.95" customHeight="1">
      <c r="A122" s="2553"/>
      <c r="B122" s="1552" t="s">
        <v>208</v>
      </c>
      <c r="C122" s="3136" t="s">
        <v>1835</v>
      </c>
      <c r="D122" s="3136"/>
      <c r="E122" s="3136"/>
      <c r="F122" s="3136"/>
      <c r="G122" s="3136"/>
      <c r="H122" s="3136"/>
      <c r="I122" s="3136"/>
      <c r="J122" s="3136"/>
      <c r="K122" s="3136"/>
      <c r="L122" s="3136"/>
      <c r="M122" s="3136"/>
      <c r="U122" s="1536"/>
      <c r="V122" s="1536"/>
      <c r="W122" s="1536"/>
      <c r="X122" s="1546" t="str">
        <f t="shared" si="1"/>
        <v/>
      </c>
      <c r="Y122" s="2557">
        <v>2</v>
      </c>
      <c r="Z122" s="1551"/>
      <c r="AA122" s="1449"/>
      <c r="AB122" s="1608"/>
      <c r="AC122" s="1607" t="str">
        <f>IF(OR($AA122=$Y122,$AA122=0,$AA122=""),"","*CHECK!*")</f>
        <v/>
      </c>
      <c r="AD122" s="2554"/>
      <c r="AY122" s="1791">
        <v>145</v>
      </c>
    </row>
    <row r="123" spans="1:51" ht="15.95" customHeight="1">
      <c r="A123" s="1517" t="s">
        <v>197</v>
      </c>
      <c r="B123" s="2571" t="s">
        <v>1836</v>
      </c>
      <c r="J123" s="1515"/>
      <c r="O123" s="2405" t="s">
        <v>1837</v>
      </c>
      <c r="U123" s="2317"/>
      <c r="V123" s="3132">
        <f>IF(OR('Part V-Revenues &amp; Expenses'!$P$74="", 'Part V-Revenues &amp; Expenses'!$P$74=0),0,'Part V-Revenues &amp; Expenses'!$P$109/'Part V-Revenues &amp; Expenses'!$P$74)</f>
        <v>0</v>
      </c>
      <c r="W123" s="3133"/>
      <c r="Y123" s="1517">
        <v>3</v>
      </c>
      <c r="Z123" s="1559"/>
      <c r="AA123" s="2795"/>
      <c r="AB123" s="2789"/>
      <c r="AY123" s="1791">
        <v>147</v>
      </c>
    </row>
    <row r="124" spans="1:51" ht="15.95" customHeight="1">
      <c r="A124" s="1515"/>
      <c r="B124" s="1596" t="s">
        <v>1452</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018"/>
      <c r="B125" s="3019"/>
      <c r="C125" s="3019"/>
      <c r="D125" s="3019"/>
      <c r="E125" s="3019"/>
      <c r="F125" s="3019"/>
      <c r="G125" s="3019"/>
      <c r="H125" s="3019"/>
      <c r="I125" s="3019"/>
      <c r="J125" s="3019"/>
      <c r="K125" s="3019"/>
      <c r="L125" s="3019"/>
      <c r="M125" s="3019"/>
      <c r="N125" s="3019"/>
      <c r="O125" s="3019"/>
      <c r="P125" s="3019"/>
      <c r="Q125" s="3019"/>
      <c r="R125" s="3019"/>
      <c r="S125" s="3019"/>
      <c r="T125" s="3019"/>
      <c r="U125" s="3019"/>
      <c r="V125" s="3019"/>
      <c r="W125" s="3019"/>
      <c r="X125" s="3019"/>
      <c r="Y125" s="3019"/>
      <c r="Z125" s="3019"/>
      <c r="AA125" s="3019"/>
      <c r="AB125" s="3020"/>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5.95" customHeight="1">
      <c r="A128" s="1598" t="s">
        <v>1485</v>
      </c>
      <c r="B128" s="1535" t="s">
        <v>1838</v>
      </c>
      <c r="E128" s="1535"/>
      <c r="F128" s="1535"/>
      <c r="X128" s="1615"/>
      <c r="Y128" s="1517">
        <v>2</v>
      </c>
      <c r="Z128" s="2557"/>
      <c r="AA128" s="1589">
        <f>IF(AA129="Yes",$Y$128,0)</f>
        <v>2</v>
      </c>
      <c r="AB128" s="1589">
        <f>IF(AB129="Yes",$Y$128,0)</f>
        <v>0</v>
      </c>
      <c r="AC128" s="1544" t="s">
        <v>1744</v>
      </c>
      <c r="AD128" s="1517"/>
      <c r="AY128" s="1791">
        <v>152</v>
      </c>
    </row>
    <row r="129" spans="1:51" ht="15.95" customHeight="1">
      <c r="B129" s="1657" t="s">
        <v>1839</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7444</v>
      </c>
      <c r="AB129" s="2790"/>
      <c r="AY129" s="1791">
        <v>153</v>
      </c>
    </row>
    <row r="130" spans="1:51" ht="15.95" customHeight="1">
      <c r="A130" s="1515"/>
      <c r="B130" s="1533" t="s">
        <v>1792</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30" customHeight="1">
      <c r="A131" s="3123" t="s">
        <v>7715</v>
      </c>
      <c r="B131" s="3124"/>
      <c r="C131" s="3124"/>
      <c r="D131" s="3124"/>
      <c r="E131" s="3124"/>
      <c r="F131" s="3124"/>
      <c r="G131" s="3124"/>
      <c r="H131" s="3124"/>
      <c r="I131" s="3124"/>
      <c r="J131" s="3124"/>
      <c r="K131" s="3124"/>
      <c r="L131" s="3124"/>
      <c r="M131" s="3124"/>
      <c r="N131" s="3124"/>
      <c r="O131" s="3124"/>
      <c r="P131" s="3124"/>
      <c r="Q131" s="3124"/>
      <c r="R131" s="3124"/>
      <c r="S131" s="3124"/>
      <c r="T131" s="3124"/>
      <c r="U131" s="3124"/>
      <c r="V131" s="3124"/>
      <c r="W131" s="3124"/>
      <c r="X131" s="3124"/>
      <c r="Y131" s="3124"/>
      <c r="Z131" s="3124"/>
      <c r="AA131" s="3124"/>
      <c r="AB131" s="3125"/>
      <c r="AC131" s="1574"/>
      <c r="AD131" s="1574"/>
      <c r="AY131" s="1791">
        <v>155</v>
      </c>
    </row>
    <row r="132" spans="1:51" s="1515" customFormat="1" ht="15.95" customHeight="1">
      <c r="A132" s="1533"/>
      <c r="B132" s="1533" t="s">
        <v>1452</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018"/>
      <c r="B133" s="3019"/>
      <c r="C133" s="3019"/>
      <c r="D133" s="3019"/>
      <c r="E133" s="3019"/>
      <c r="F133" s="3019"/>
      <c r="G133" s="3019"/>
      <c r="H133" s="3019"/>
      <c r="I133" s="3019"/>
      <c r="J133" s="3019"/>
      <c r="K133" s="3019"/>
      <c r="L133" s="3019"/>
      <c r="M133" s="3019"/>
      <c r="N133" s="3019"/>
      <c r="O133" s="3019"/>
      <c r="P133" s="3019"/>
      <c r="Q133" s="3019"/>
      <c r="R133" s="3019"/>
      <c r="S133" s="3019"/>
      <c r="T133" s="3019"/>
      <c r="U133" s="3019"/>
      <c r="V133" s="3019"/>
      <c r="W133" s="3019"/>
      <c r="X133" s="3019"/>
      <c r="Y133" s="3019"/>
      <c r="Z133" s="3019"/>
      <c r="AA133" s="3019"/>
      <c r="AB133" s="3020"/>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5.95" customHeight="1">
      <c r="A136" s="1534" t="s">
        <v>1487</v>
      </c>
      <c r="B136" s="1535" t="s">
        <v>1840</v>
      </c>
      <c r="X136" s="1542" t="s">
        <v>1743</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1744</v>
      </c>
      <c r="AD136" s="1517" t="str">
        <f>$C$16</f>
        <v>9%</v>
      </c>
      <c r="AY136" s="1790">
        <v>160</v>
      </c>
    </row>
    <row r="137" spans="1:51" s="1515" customFormat="1" ht="15.95" customHeight="1">
      <c r="A137" s="1517" t="s">
        <v>185</v>
      </c>
      <c r="B137" s="1523" t="s">
        <v>1841</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5.95" customHeight="1">
      <c r="A138" s="1517" t="s">
        <v>197</v>
      </c>
      <c r="B138" s="1523" t="s">
        <v>1842</v>
      </c>
      <c r="I138" s="1547"/>
      <c r="J138" s="1512"/>
      <c r="K138" s="1512"/>
      <c r="L138" s="1512"/>
      <c r="M138" s="1512"/>
      <c r="N138" s="1512"/>
      <c r="O138" s="1512"/>
      <c r="P138" s="1512"/>
      <c r="Q138" s="1512"/>
      <c r="R138" s="1512"/>
      <c r="S138" s="1512"/>
      <c r="T138" s="1600"/>
      <c r="U138" s="1600"/>
      <c r="V138" s="1600"/>
      <c r="W138" s="1600"/>
      <c r="X138" s="1512"/>
      <c r="Y138" s="2557" t="s">
        <v>1843</v>
      </c>
      <c r="Z138" s="1547"/>
      <c r="AA138" s="2801"/>
      <c r="AB138" s="2802"/>
      <c r="AD138" s="2554"/>
      <c r="AY138" s="1790">
        <v>162</v>
      </c>
    </row>
    <row r="139" spans="1:51" ht="15.95" customHeight="1">
      <c r="A139" s="1515"/>
      <c r="B139" s="1533" t="s">
        <v>1792</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58.5" customHeight="1">
      <c r="A140" s="3123" t="s">
        <v>7716</v>
      </c>
      <c r="B140" s="3124"/>
      <c r="C140" s="3124"/>
      <c r="D140" s="3124"/>
      <c r="E140" s="3124"/>
      <c r="F140" s="3124"/>
      <c r="G140" s="3124"/>
      <c r="H140" s="3124"/>
      <c r="I140" s="3124"/>
      <c r="J140" s="3124"/>
      <c r="K140" s="3124"/>
      <c r="L140" s="3124"/>
      <c r="M140" s="3124"/>
      <c r="N140" s="3124"/>
      <c r="O140" s="3124"/>
      <c r="P140" s="3124"/>
      <c r="Q140" s="3124"/>
      <c r="R140" s="3124"/>
      <c r="S140" s="3124"/>
      <c r="T140" s="3124"/>
      <c r="U140" s="3124"/>
      <c r="V140" s="3124"/>
      <c r="W140" s="3124"/>
      <c r="X140" s="3124"/>
      <c r="Y140" s="3124"/>
      <c r="Z140" s="3124"/>
      <c r="AA140" s="3124"/>
      <c r="AB140" s="3125"/>
      <c r="AC140" s="1574"/>
      <c r="AD140" s="1574"/>
      <c r="AY140" s="1791">
        <v>164</v>
      </c>
    </row>
    <row r="141" spans="1:51" ht="15.95" customHeight="1">
      <c r="A141" s="1515"/>
      <c r="B141" s="1533" t="s">
        <v>1452</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018"/>
      <c r="B142" s="3019"/>
      <c r="C142" s="3019"/>
      <c r="D142" s="3019"/>
      <c r="E142" s="3019"/>
      <c r="F142" s="3019"/>
      <c r="G142" s="3019"/>
      <c r="H142" s="3019"/>
      <c r="I142" s="3019"/>
      <c r="J142" s="3019"/>
      <c r="K142" s="3019"/>
      <c r="L142" s="3019"/>
      <c r="M142" s="3019"/>
      <c r="N142" s="3019"/>
      <c r="O142" s="3019"/>
      <c r="P142" s="3019"/>
      <c r="Q142" s="3019"/>
      <c r="R142" s="3019"/>
      <c r="S142" s="3019"/>
      <c r="T142" s="3019"/>
      <c r="U142" s="3019"/>
      <c r="V142" s="3019"/>
      <c r="W142" s="3019"/>
      <c r="X142" s="3019"/>
      <c r="Y142" s="3019"/>
      <c r="Z142" s="3019"/>
      <c r="AA142" s="3019"/>
      <c r="AB142" s="3020"/>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5.95" customHeight="1">
      <c r="A145" s="1534" t="s">
        <v>1489</v>
      </c>
      <c r="B145" s="1535" t="s">
        <v>1844</v>
      </c>
      <c r="I145" s="1617"/>
      <c r="J145" s="2571"/>
      <c r="K145" s="2553"/>
      <c r="L145" s="2553"/>
      <c r="M145" s="2553"/>
      <c r="N145" s="2553"/>
      <c r="O145" s="2553"/>
      <c r="P145" s="2553"/>
      <c r="Q145" s="2553"/>
      <c r="R145" s="2553"/>
      <c r="S145" s="2553"/>
      <c r="T145" s="1517"/>
      <c r="U145" s="1517"/>
      <c r="V145" s="1517"/>
      <c r="W145" s="1517"/>
      <c r="X145" s="1542" t="s">
        <v>1743</v>
      </c>
      <c r="Y145" s="1517">
        <v>6</v>
      </c>
      <c r="Z145" s="1547"/>
      <c r="AA145" s="1589">
        <f>IF($M$11="New Affordability",MAX(AA153,AA156),0)</f>
        <v>3</v>
      </c>
      <c r="AB145" s="1589">
        <f>IF($M$12="New Affordability",MAX(AB153,AB156),0)</f>
        <v>0</v>
      </c>
      <c r="AC145" s="1544" t="s">
        <v>1744</v>
      </c>
      <c r="AD145" s="1517" t="str">
        <f>$C$16</f>
        <v>9%</v>
      </c>
      <c r="AY145" s="1791">
        <v>169</v>
      </c>
    </row>
    <row r="146" spans="1:51" ht="15.95"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5.95" customHeight="1">
      <c r="A147" s="1534"/>
      <c r="B147" s="1515" t="s">
        <v>1845</v>
      </c>
      <c r="H147" s="1515"/>
      <c r="I147" s="1515" t="s">
        <v>1846</v>
      </c>
      <c r="J147" s="1515"/>
      <c r="L147" s="1515"/>
      <c r="M147" s="1515"/>
      <c r="N147" s="1515"/>
      <c r="O147" s="1515"/>
      <c r="P147" s="1515"/>
      <c r="Q147" s="1515"/>
      <c r="R147" s="1515"/>
      <c r="S147" s="1515"/>
      <c r="T147" s="1515"/>
      <c r="U147" s="1563" t="s">
        <v>1847</v>
      </c>
      <c r="V147" s="1563"/>
      <c r="W147" s="1563"/>
      <c r="X147" s="1563"/>
      <c r="Y147" s="1563"/>
      <c r="Z147" s="1547"/>
      <c r="AA147" s="3140" t="s">
        <v>1848</v>
      </c>
      <c r="AB147" s="3140"/>
      <c r="AY147" s="1791">
        <v>171</v>
      </c>
    </row>
    <row r="148" spans="1:51" ht="15" customHeight="1">
      <c r="B148" s="1618"/>
      <c r="C148" s="1619" t="s">
        <v>1849</v>
      </c>
      <c r="D148" s="1619"/>
      <c r="G148" s="3137"/>
      <c r="H148" s="3137"/>
      <c r="I148" s="3152">
        <v>33.536515999999999</v>
      </c>
      <c r="J148" s="3144"/>
      <c r="K148" s="3144"/>
      <c r="L148" s="3144"/>
      <c r="M148" s="3144"/>
      <c r="N148" s="3144"/>
      <c r="O148" s="3144"/>
      <c r="P148" s="3153"/>
      <c r="Q148" s="3148"/>
      <c r="R148" s="3149"/>
      <c r="S148" s="3149"/>
      <c r="T148" s="3143"/>
      <c r="U148" s="3144">
        <v>-84.369831000000005</v>
      </c>
      <c r="V148" s="3144"/>
      <c r="W148" s="3145"/>
      <c r="X148" s="3142"/>
      <c r="Y148" s="3143"/>
      <c r="Z148" s="1514"/>
      <c r="AA148" s="3141"/>
      <c r="AB148" s="3141"/>
      <c r="AY148" s="1790">
        <v>172</v>
      </c>
    </row>
    <row r="149" spans="1:51" ht="15" customHeight="1">
      <c r="A149" s="1618"/>
      <c r="B149" s="1620"/>
      <c r="C149" s="1619" t="s">
        <v>1850</v>
      </c>
      <c r="D149" s="1619"/>
      <c r="G149" s="3137"/>
      <c r="H149" s="3137"/>
      <c r="I149" s="3154">
        <v>33.536909999999999</v>
      </c>
      <c r="J149" s="3146"/>
      <c r="K149" s="3146"/>
      <c r="L149" s="3146"/>
      <c r="M149" s="3146"/>
      <c r="N149" s="3146"/>
      <c r="O149" s="3146"/>
      <c r="P149" s="3155"/>
      <c r="Q149" s="3150"/>
      <c r="R149" s="3151"/>
      <c r="S149" s="3151"/>
      <c r="T149" s="3139"/>
      <c r="U149" s="3146">
        <v>-84.368750000000006</v>
      </c>
      <c r="V149" s="3146"/>
      <c r="W149" s="3147"/>
      <c r="X149" s="3138"/>
      <c r="Y149" s="3139"/>
      <c r="Z149" s="1547"/>
      <c r="AA149" s="2803">
        <v>0.01</v>
      </c>
      <c r="AB149" s="2804"/>
      <c r="AY149" s="1791">
        <v>173</v>
      </c>
    </row>
    <row r="150" spans="1:51" ht="15.95" customHeight="1">
      <c r="A150" s="1620"/>
      <c r="B150" s="3015" t="s">
        <v>1851</v>
      </c>
      <c r="C150" s="3015"/>
      <c r="D150" s="3015"/>
      <c r="E150" s="3014" t="s">
        <v>1852</v>
      </c>
      <c r="F150" s="3015"/>
      <c r="G150" s="3016" t="s">
        <v>1853</v>
      </c>
      <c r="H150" s="3016"/>
      <c r="I150" s="3016"/>
      <c r="J150" s="3016"/>
      <c r="K150" s="3016"/>
      <c r="L150" s="3016"/>
      <c r="M150" s="3016"/>
      <c r="N150" s="3016"/>
      <c r="O150" s="3016"/>
      <c r="P150" s="3016"/>
      <c r="Q150" s="3016"/>
      <c r="R150" s="3016"/>
      <c r="S150" s="3016"/>
      <c r="T150" s="3016" t="s">
        <v>1854</v>
      </c>
      <c r="U150" s="3016"/>
      <c r="V150" s="3016"/>
      <c r="W150" s="3016"/>
      <c r="X150" s="3016"/>
      <c r="Y150" s="3016"/>
      <c r="Z150" s="3016"/>
      <c r="AA150" s="3016"/>
      <c r="AB150" s="3016"/>
      <c r="AY150" s="1790">
        <v>174</v>
      </c>
    </row>
    <row r="151" spans="1:51" ht="15" customHeight="1">
      <c r="A151" s="1620"/>
      <c r="B151" s="3324" t="s">
        <v>7699</v>
      </c>
      <c r="C151" s="3322"/>
      <c r="D151" s="3323"/>
      <c r="E151" s="3325">
        <v>4048485000</v>
      </c>
      <c r="F151" s="3326"/>
      <c r="G151" s="3325" t="s">
        <v>7700</v>
      </c>
      <c r="H151" s="3327"/>
      <c r="I151" s="3327"/>
      <c r="J151" s="3327"/>
      <c r="K151" s="3327"/>
      <c r="L151" s="3327"/>
      <c r="M151" s="3327"/>
      <c r="N151" s="3327"/>
      <c r="O151" s="3327"/>
      <c r="P151" s="3327"/>
      <c r="Q151" s="3327"/>
      <c r="R151" s="3327"/>
      <c r="S151" s="3328"/>
      <c r="T151" s="3321" t="s">
        <v>7701</v>
      </c>
      <c r="U151" s="3322"/>
      <c r="V151" s="3322"/>
      <c r="W151" s="3322"/>
      <c r="X151" s="3322"/>
      <c r="Y151" s="3322"/>
      <c r="Z151" s="3322"/>
      <c r="AA151" s="3322"/>
      <c r="AB151" s="3323"/>
      <c r="AY151" s="1790">
        <v>175</v>
      </c>
    </row>
    <row r="152" spans="1:51" ht="15.95" customHeight="1">
      <c r="A152" s="1532"/>
      <c r="B152" s="1535"/>
      <c r="G152" s="1545"/>
      <c r="Y152" s="1517"/>
      <c r="Z152" s="1517"/>
      <c r="AA152" s="1517"/>
      <c r="AB152" s="1517"/>
      <c r="AC152" s="1544"/>
      <c r="AD152" s="1570"/>
      <c r="AE152" s="1570"/>
      <c r="AF152" s="1570"/>
      <c r="AG152" s="1570"/>
      <c r="AY152" s="1790">
        <v>176</v>
      </c>
    </row>
    <row r="153" spans="1:51" ht="15.95" customHeight="1">
      <c r="A153" s="2555" t="s">
        <v>185</v>
      </c>
      <c r="B153" s="1523" t="s">
        <v>1855</v>
      </c>
      <c r="G153" s="1621"/>
      <c r="X153" s="1588" t="s">
        <v>1786</v>
      </c>
      <c r="Y153" s="1517">
        <v>6</v>
      </c>
      <c r="Z153" s="1573"/>
      <c r="AA153" s="2805">
        <f>IF(OR($X$11="Atlanta Metro",$X$11="Other Metro",$X$11="N/A-4%"),MIN($Y153,AA154+AA155),0)</f>
        <v>0</v>
      </c>
      <c r="AB153" s="2805">
        <f>IF(OR($X$12="Atlanta Metro",$X$12="Other Metro",$X$12="N/A-4%"),MIN($Y153,AB154+AB155),0)</f>
        <v>0</v>
      </c>
      <c r="AC153" s="1544"/>
      <c r="AE153" s="2806" t="s">
        <v>1856</v>
      </c>
      <c r="AF153" s="2806" t="s">
        <v>1857</v>
      </c>
      <c r="AY153" s="1790">
        <v>177</v>
      </c>
    </row>
    <row r="154" spans="1:51" s="1557" customFormat="1" ht="29.45" customHeight="1">
      <c r="A154" s="1558"/>
      <c r="B154" s="1552" t="s">
        <v>200</v>
      </c>
      <c r="C154" s="3017" t="s">
        <v>1858</v>
      </c>
      <c r="D154" s="3017"/>
      <c r="E154" s="3017"/>
      <c r="F154" s="3017"/>
      <c r="G154" s="3017"/>
      <c r="H154" s="3017"/>
      <c r="I154" s="3017"/>
      <c r="J154" s="3017"/>
      <c r="K154" s="3017"/>
      <c r="L154" s="3017"/>
      <c r="M154" s="3017"/>
      <c r="N154" s="3017"/>
      <c r="O154" s="3017"/>
      <c r="P154" s="3017"/>
      <c r="Q154" s="3017"/>
      <c r="R154" s="3017"/>
      <c r="S154" s="3017"/>
      <c r="T154" s="3017"/>
      <c r="U154" s="2559"/>
      <c r="V154" s="2559"/>
      <c r="W154" s="2559"/>
      <c r="X154" s="1546" t="str">
        <f t="shared" ref="X154" si="2">IF(OR($AA154=$Y154,$AA154=0,$AA154=""),"","* * Check Score! * *")</f>
        <v/>
      </c>
      <c r="Y154" s="1558">
        <v>6</v>
      </c>
      <c r="Z154" s="1593"/>
      <c r="AA154" s="1452"/>
      <c r="AB154" s="2807"/>
      <c r="AD154" s="3173" t="s">
        <v>1859</v>
      </c>
      <c r="AE154" s="1622">
        <v>0.25</v>
      </c>
      <c r="AF154" s="1622">
        <v>5</v>
      </c>
      <c r="AY154" s="1790">
        <v>178</v>
      </c>
    </row>
    <row r="155" spans="1:51" s="1557" customFormat="1" ht="15.95" customHeight="1">
      <c r="A155" s="2553" t="s">
        <v>326</v>
      </c>
      <c r="B155" s="1552" t="s">
        <v>208</v>
      </c>
      <c r="C155" s="1515" t="s">
        <v>1860</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c r="AB155" s="1623"/>
      <c r="AD155" s="3173"/>
      <c r="AE155" s="1622">
        <v>0.5</v>
      </c>
      <c r="AF155" s="1622">
        <v>4.5</v>
      </c>
      <c r="AY155" s="1790">
        <v>179</v>
      </c>
    </row>
    <row r="156" spans="1:51" s="1557" customFormat="1" ht="15.95" customHeight="1">
      <c r="A156" s="2555" t="s">
        <v>197</v>
      </c>
      <c r="B156" s="1624" t="s">
        <v>1861</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3</v>
      </c>
      <c r="AB156" s="2799">
        <f>IF(OR(AND(AB157&gt;0,AB158&gt;0,AB159&gt;0), AND(AB157&gt;0,AB158&gt;0), AND(AB158&gt;0,AB159&gt;0), AND(AB157&gt;0,AB159&gt;0)),"Choose", IF(AND(OR($X$12="Atlanta Metro",$X$12="Other Metro",$X$11="N/A-4%"),SUM(AB157,AB158,AB159)&gt;0), MIN($Y156,AB157+AB158), IF(AND(OR($X$11="Rural"),SUM(AB157,AB158,AB159)&gt;0), MIN($Y156,AB159),0)))</f>
        <v>0</v>
      </c>
      <c r="AD156" s="3173"/>
      <c r="AE156" s="1627">
        <v>1</v>
      </c>
      <c r="AF156" s="1627">
        <v>4</v>
      </c>
      <c r="AY156" s="1791">
        <v>180</v>
      </c>
    </row>
    <row r="157" spans="1:51" ht="15.95" customHeight="1">
      <c r="A157" s="1534"/>
      <c r="B157" s="1628" t="s">
        <v>200</v>
      </c>
      <c r="C157" s="1515" t="s">
        <v>1862</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v>3</v>
      </c>
      <c r="AB157" s="2792"/>
      <c r="AD157" s="3173" t="s">
        <v>1863</v>
      </c>
      <c r="AE157" s="2808">
        <v>0.25</v>
      </c>
      <c r="AF157" s="2808">
        <v>3</v>
      </c>
      <c r="AG157" s="1557"/>
      <c r="AY157" s="1791">
        <v>181</v>
      </c>
    </row>
    <row r="158" spans="1:51" ht="15.95" customHeight="1">
      <c r="A158" s="2553" t="s">
        <v>326</v>
      </c>
      <c r="B158" s="1628" t="s">
        <v>208</v>
      </c>
      <c r="C158" s="1515" t="s">
        <v>1864</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c r="AB158" s="1629"/>
      <c r="AD158" s="3173"/>
      <c r="AE158" s="1622">
        <v>0.5</v>
      </c>
      <c r="AF158" s="1622">
        <v>2</v>
      </c>
      <c r="AG158" s="1557"/>
      <c r="AY158" s="1791">
        <v>182</v>
      </c>
    </row>
    <row r="159" spans="1:51" s="1557" customFormat="1" ht="29.25" customHeight="1">
      <c r="A159" s="1630" t="s">
        <v>326</v>
      </c>
      <c r="B159" s="1628" t="s">
        <v>212</v>
      </c>
      <c r="C159" s="3017" t="s">
        <v>1865</v>
      </c>
      <c r="D159" s="3017"/>
      <c r="E159" s="3017"/>
      <c r="F159" s="3017"/>
      <c r="G159" s="3017"/>
      <c r="H159" s="3017"/>
      <c r="I159" s="3017"/>
      <c r="J159" s="3017"/>
      <c r="K159" s="3017"/>
      <c r="L159" s="3017"/>
      <c r="M159" s="3017"/>
      <c r="N159" s="3017"/>
      <c r="O159" s="3017"/>
      <c r="P159" s="3017"/>
      <c r="Q159" s="3017"/>
      <c r="R159" s="3017"/>
      <c r="S159" s="3017"/>
      <c r="T159" s="3017"/>
      <c r="U159" s="2559"/>
      <c r="V159" s="2559"/>
      <c r="W159" s="2559"/>
      <c r="X159" s="1546" t="str">
        <f t="shared" si="3"/>
        <v/>
      </c>
      <c r="Y159" s="1558">
        <v>2</v>
      </c>
      <c r="Z159" s="1593"/>
      <c r="AA159" s="1474"/>
      <c r="AB159" s="1631"/>
      <c r="AD159" s="3173"/>
      <c r="AE159" s="1627">
        <v>1</v>
      </c>
      <c r="AF159" s="1627">
        <v>1</v>
      </c>
      <c r="AY159" s="1790">
        <v>183</v>
      </c>
    </row>
    <row r="160" spans="1:51" ht="15.95" customHeight="1">
      <c r="A160" s="1515"/>
      <c r="B160" s="1533" t="s">
        <v>1792</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60" customHeight="1">
      <c r="A161" s="3123" t="s">
        <v>7730</v>
      </c>
      <c r="B161" s="3124"/>
      <c r="C161" s="3124"/>
      <c r="D161" s="3124"/>
      <c r="E161" s="3124"/>
      <c r="F161" s="3124"/>
      <c r="G161" s="3124"/>
      <c r="H161" s="3124"/>
      <c r="I161" s="3124"/>
      <c r="J161" s="3124"/>
      <c r="K161" s="3124"/>
      <c r="L161" s="3124"/>
      <c r="M161" s="3124"/>
      <c r="N161" s="3124"/>
      <c r="O161" s="3124"/>
      <c r="P161" s="3124"/>
      <c r="Q161" s="3124"/>
      <c r="R161" s="3124"/>
      <c r="S161" s="3124"/>
      <c r="T161" s="3124"/>
      <c r="U161" s="3124"/>
      <c r="V161" s="3124"/>
      <c r="W161" s="3124"/>
      <c r="X161" s="3124"/>
      <c r="Y161" s="3124"/>
      <c r="Z161" s="3124"/>
      <c r="AA161" s="3124"/>
      <c r="AB161" s="3125"/>
      <c r="AC161" s="1574"/>
      <c r="AD161" s="1574"/>
      <c r="AY161" s="1791">
        <v>185</v>
      </c>
    </row>
    <row r="162" spans="1:51" s="1515" customFormat="1" ht="15.95" customHeight="1">
      <c r="B162" s="1596" t="s">
        <v>1452</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018"/>
      <c r="B163" s="3019"/>
      <c r="C163" s="3019"/>
      <c r="D163" s="3019"/>
      <c r="E163" s="3019"/>
      <c r="F163" s="3019"/>
      <c r="G163" s="3019"/>
      <c r="H163" s="3019"/>
      <c r="I163" s="3019"/>
      <c r="J163" s="3019"/>
      <c r="K163" s="3019"/>
      <c r="L163" s="3019"/>
      <c r="M163" s="3019"/>
      <c r="N163" s="3019"/>
      <c r="O163" s="3019"/>
      <c r="P163" s="3019"/>
      <c r="Q163" s="3019"/>
      <c r="R163" s="3019"/>
      <c r="S163" s="3019"/>
      <c r="T163" s="3019"/>
      <c r="U163" s="3019"/>
      <c r="V163" s="3019"/>
      <c r="W163" s="3019"/>
      <c r="X163" s="3019"/>
      <c r="Y163" s="3019"/>
      <c r="Z163" s="3019"/>
      <c r="AA163" s="3019"/>
      <c r="AB163" s="3020"/>
      <c r="AC163" s="1567"/>
      <c r="AY163" s="1790">
        <v>187</v>
      </c>
    </row>
    <row r="164" spans="1:51" ht="9.75" customHeight="1">
      <c r="AY164" s="1791">
        <v>188</v>
      </c>
    </row>
    <row r="165" spans="1:51" ht="9.75" customHeight="1">
      <c r="AY165" s="1791">
        <v>189</v>
      </c>
    </row>
    <row r="166" spans="1:51" ht="15.95" customHeight="1">
      <c r="A166" s="1534" t="s">
        <v>1495</v>
      </c>
      <c r="B166" s="1535" t="s">
        <v>1866</v>
      </c>
      <c r="C166" s="2559"/>
      <c r="D166" s="2559"/>
      <c r="E166" s="2559"/>
      <c r="F166" s="2559"/>
      <c r="H166" s="1517"/>
      <c r="I166" s="2554"/>
      <c r="X166" s="1542" t="s">
        <v>1743</v>
      </c>
      <c r="Y166" s="1517">
        <v>3</v>
      </c>
      <c r="Z166" s="1565"/>
      <c r="AA166" s="1478">
        <v>1.5</v>
      </c>
      <c r="AB166" s="1632"/>
      <c r="AC166" s="1544" t="s">
        <v>1744</v>
      </c>
      <c r="AD166" s="1517" t="str">
        <f>$C$16</f>
        <v>9%</v>
      </c>
      <c r="AY166" s="1791">
        <v>190</v>
      </c>
    </row>
    <row r="167" spans="1:51" ht="8.4499999999999993"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158" t="s">
        <v>1867</v>
      </c>
      <c r="U168" s="2560"/>
      <c r="V168" s="2560"/>
      <c r="W168" s="2560"/>
      <c r="X168" s="3329" t="s">
        <v>1868</v>
      </c>
      <c r="Y168" s="3329"/>
      <c r="Z168" s="3329" t="s">
        <v>1869</v>
      </c>
      <c r="AA168" s="3329"/>
      <c r="AB168" s="1514"/>
      <c r="AT168" s="1791">
        <v>191</v>
      </c>
      <c r="AY168" s="1514"/>
    </row>
    <row r="169" spans="1:51" ht="24.6" customHeight="1">
      <c r="B169" s="1634"/>
      <c r="C169" s="1634"/>
      <c r="D169" s="1634"/>
      <c r="E169" s="1634"/>
      <c r="F169" s="1635"/>
      <c r="G169" s="3096" t="s">
        <v>1870</v>
      </c>
      <c r="H169" s="3096"/>
      <c r="I169" s="3096"/>
      <c r="J169" s="3096"/>
      <c r="K169" s="3096"/>
      <c r="L169" s="3096"/>
      <c r="M169" s="3096"/>
      <c r="N169" s="3096"/>
      <c r="O169" s="3096"/>
      <c r="P169" s="3096"/>
      <c r="Q169" s="3096"/>
      <c r="R169" s="3096"/>
      <c r="S169" s="3096"/>
      <c r="T169" s="3096"/>
      <c r="U169" s="3096" t="s">
        <v>1871</v>
      </c>
      <c r="V169" s="3096"/>
      <c r="W169" s="3096"/>
      <c r="X169" s="3329"/>
      <c r="Y169" s="3329"/>
      <c r="Z169" s="3329"/>
      <c r="AA169" s="3329"/>
      <c r="AB169" s="1514"/>
      <c r="AT169" s="1790">
        <v>192</v>
      </c>
      <c r="AY169" s="1514"/>
    </row>
    <row r="170" spans="1:51" ht="15" customHeight="1">
      <c r="A170" s="1636" t="s">
        <v>1872</v>
      </c>
      <c r="C170" s="1637" t="s">
        <v>1873</v>
      </c>
      <c r="D170" s="1637" t="s">
        <v>1874</v>
      </c>
      <c r="E170" s="1636" t="s">
        <v>1875</v>
      </c>
      <c r="F170" s="1635"/>
      <c r="G170" s="2476" t="s">
        <v>1876</v>
      </c>
      <c r="H170" s="2476">
        <v>1</v>
      </c>
      <c r="I170" s="2476">
        <v>2</v>
      </c>
      <c r="J170" s="2476">
        <v>3</v>
      </c>
      <c r="K170" s="2476">
        <v>4</v>
      </c>
      <c r="L170" s="2476">
        <v>5</v>
      </c>
      <c r="M170" s="2476">
        <v>6</v>
      </c>
      <c r="N170" s="2476">
        <v>7</v>
      </c>
      <c r="O170" s="2476">
        <v>8</v>
      </c>
      <c r="P170" s="2476">
        <v>9</v>
      </c>
      <c r="Q170" s="2476">
        <v>10</v>
      </c>
      <c r="R170" s="2476">
        <v>11</v>
      </c>
      <c r="S170" s="2476">
        <v>12</v>
      </c>
      <c r="T170" s="3015"/>
      <c r="U170" s="2561" t="s">
        <v>1877</v>
      </c>
      <c r="V170" s="2561" t="s">
        <v>1878</v>
      </c>
      <c r="W170" s="2561" t="s">
        <v>1879</v>
      </c>
      <c r="X170" s="3330"/>
      <c r="Y170" s="3330"/>
      <c r="Z170" s="3330"/>
      <c r="AA170" s="3330"/>
      <c r="AB170" s="1514"/>
      <c r="AT170" s="1791">
        <v>193</v>
      </c>
      <c r="AY170" s="1514"/>
    </row>
    <row r="171" spans="1:51" ht="30" customHeight="1">
      <c r="A171" s="3331">
        <f>_xlfn.XLOOKUP(D171,'Quality Edu School List'!B$2:B$2254,'Quality Edu School List'!A$2:A$2254,"")</f>
        <v>631</v>
      </c>
      <c r="B171" s="3332"/>
      <c r="C171" s="2809">
        <f>_xlfn.XLOOKUP(E171,'Quality Edu School List'!D$2:D$2254,'Quality Edu School List'!C$2:C$2254,"")</f>
        <v>5060</v>
      </c>
      <c r="D171" s="2810" t="s">
        <v>2605</v>
      </c>
      <c r="E171" s="3333" t="s">
        <v>2664</v>
      </c>
      <c r="F171" s="3334"/>
      <c r="G171" s="2811" t="b">
        <v>1</v>
      </c>
      <c r="H171" s="2469" t="b">
        <v>1</v>
      </c>
      <c r="I171" s="2469" t="b">
        <v>1</v>
      </c>
      <c r="J171" s="2469" t="b">
        <v>1</v>
      </c>
      <c r="K171" s="2469" t="b">
        <v>1</v>
      </c>
      <c r="L171" s="2469" t="b">
        <v>1</v>
      </c>
      <c r="M171" s="2469" t="b">
        <v>0</v>
      </c>
      <c r="N171" s="2469" t="b">
        <v>0</v>
      </c>
      <c r="O171" s="2469" t="b">
        <v>0</v>
      </c>
      <c r="P171" s="2469" t="b">
        <v>0</v>
      </c>
      <c r="Q171" s="2469" t="b">
        <v>0</v>
      </c>
      <c r="R171" s="2469" t="b">
        <v>0</v>
      </c>
      <c r="S171" s="2812" t="b">
        <v>0</v>
      </c>
      <c r="T171" s="2809">
        <f t="shared" ref="T171:T176" si="4">COUNTIF(G171:S171,TRUE)</f>
        <v>6</v>
      </c>
      <c r="U171" s="2813" t="str">
        <f>IF(OR(G171=TRUE,H171=TRUE,I171=TRUE,J171=TRUE,K171=TRUE,L171=TRUE),"E","")</f>
        <v>E</v>
      </c>
      <c r="V171" s="2322" t="str">
        <f t="shared" ref="V171:V176" si="5">IF(OR(M171=TRUE,N171=TRUE,O171=TRUE),"M","")</f>
        <v/>
      </c>
      <c r="W171" s="2814" t="str">
        <f t="shared" ref="W171:W176" si="6">IF(OR(P171=TRUE,Q171=TRUE,R171=TRUE,S171=TRUE),"H","")</f>
        <v/>
      </c>
      <c r="X171" s="3341" t="s">
        <v>7474</v>
      </c>
      <c r="Y171" s="3342"/>
      <c r="Z171" s="3341" t="s">
        <v>7474</v>
      </c>
      <c r="AA171" s="3342"/>
      <c r="AB171" s="2815"/>
      <c r="AT171" s="1790">
        <v>194</v>
      </c>
      <c r="AY171" s="1514"/>
    </row>
    <row r="172" spans="1:51" ht="30" customHeight="1">
      <c r="A172" s="3182">
        <f>_xlfn.XLOOKUP(D172,'Quality Edu School List'!B$2:B$2254,'Quality Edu School List'!A$2:A$2254,"")</f>
        <v>631</v>
      </c>
      <c r="B172" s="3183"/>
      <c r="C172" s="2320">
        <f>_xlfn.XLOOKUP(E172,'Quality Edu School List'!D$2:D$2254,'Quality Edu School List'!C$2:C$2254,"")</f>
        <v>106</v>
      </c>
      <c r="D172" s="2314" t="s">
        <v>2605</v>
      </c>
      <c r="E172" s="3174" t="s">
        <v>2628</v>
      </c>
      <c r="F172" s="3175"/>
      <c r="G172" s="2470" t="b">
        <v>0</v>
      </c>
      <c r="H172" s="2471" t="b">
        <v>0</v>
      </c>
      <c r="I172" s="2471" t="b">
        <v>0</v>
      </c>
      <c r="J172" s="2471" t="b">
        <v>0</v>
      </c>
      <c r="K172" s="2471" t="b">
        <v>0</v>
      </c>
      <c r="L172" s="2471" t="b">
        <v>0</v>
      </c>
      <c r="M172" s="2471" t="b">
        <v>1</v>
      </c>
      <c r="N172" s="2471" t="b">
        <v>1</v>
      </c>
      <c r="O172" s="2471" t="b">
        <v>1</v>
      </c>
      <c r="P172" s="2471" t="b">
        <v>0</v>
      </c>
      <c r="Q172" s="2471" t="b">
        <v>0</v>
      </c>
      <c r="R172" s="2471" t="b">
        <v>0</v>
      </c>
      <c r="S172" s="2472" t="b">
        <v>0</v>
      </c>
      <c r="T172" s="2320">
        <f t="shared" si="4"/>
        <v>3</v>
      </c>
      <c r="U172" s="2323" t="str">
        <f t="shared" ref="U172:U176" si="7">IF(OR(G172=TRUE,H172=TRUE,I172=TRUE,J172=TRUE,K172=TRUE,L172=TRUE),"E","")</f>
        <v/>
      </c>
      <c r="V172" s="1751" t="str">
        <f t="shared" si="5"/>
        <v>M</v>
      </c>
      <c r="W172" s="2324" t="str">
        <f t="shared" si="6"/>
        <v/>
      </c>
      <c r="X172" s="3178" t="s">
        <v>7474</v>
      </c>
      <c r="Y172" s="3179"/>
      <c r="Z172" s="3178" t="s">
        <v>7444</v>
      </c>
      <c r="AA172" s="3179"/>
      <c r="AB172" s="2312"/>
      <c r="AT172" s="1790">
        <v>195</v>
      </c>
      <c r="AY172" s="1514"/>
    </row>
    <row r="173" spans="1:51" ht="30" customHeight="1">
      <c r="A173" s="3182">
        <f>_xlfn.XLOOKUP(D173,'Quality Edu School List'!B$2:B$2254,'Quality Edu School List'!A$2:A$2254,"")</f>
        <v>631</v>
      </c>
      <c r="B173" s="3183"/>
      <c r="C173" s="2320">
        <f>_xlfn.XLOOKUP(E173,'Quality Edu School List'!D$2:D$2254,'Quality Edu School List'!C$2:C$2254,"")</f>
        <v>1056</v>
      </c>
      <c r="D173" s="2314" t="s">
        <v>2605</v>
      </c>
      <c r="E173" s="3174" t="s">
        <v>2627</v>
      </c>
      <c r="F173" s="3175"/>
      <c r="G173" s="2470" t="b">
        <v>0</v>
      </c>
      <c r="H173" s="2471" t="b">
        <v>0</v>
      </c>
      <c r="I173" s="2471" t="b">
        <v>0</v>
      </c>
      <c r="J173" s="2471" t="b">
        <v>0</v>
      </c>
      <c r="K173" s="2471" t="b">
        <v>0</v>
      </c>
      <c r="L173" s="2471" t="b">
        <v>0</v>
      </c>
      <c r="M173" s="2471" t="b">
        <v>0</v>
      </c>
      <c r="N173" s="2471" t="b">
        <v>0</v>
      </c>
      <c r="O173" s="2471" t="b">
        <v>0</v>
      </c>
      <c r="P173" s="2471" t="b">
        <v>1</v>
      </c>
      <c r="Q173" s="2471" t="b">
        <v>1</v>
      </c>
      <c r="R173" s="2471" t="b">
        <v>1</v>
      </c>
      <c r="S173" s="2472" t="b">
        <v>1</v>
      </c>
      <c r="T173" s="2320">
        <f t="shared" si="4"/>
        <v>4</v>
      </c>
      <c r="U173" s="2323" t="str">
        <f t="shared" si="7"/>
        <v/>
      </c>
      <c r="V173" s="1751" t="str">
        <f t="shared" si="5"/>
        <v/>
      </c>
      <c r="W173" s="2324" t="str">
        <f t="shared" si="6"/>
        <v>H</v>
      </c>
      <c r="X173" s="3178" t="s">
        <v>7474</v>
      </c>
      <c r="Y173" s="3179"/>
      <c r="Z173" s="3178" t="s">
        <v>7444</v>
      </c>
      <c r="AA173" s="3179"/>
      <c r="AB173" s="2312"/>
      <c r="AT173" s="1790">
        <v>196</v>
      </c>
      <c r="AY173" s="1514"/>
    </row>
    <row r="174" spans="1:51" ht="30" customHeight="1">
      <c r="A174" s="3182" t="str">
        <f>_xlfn.XLOOKUP(D174,'Quality Edu School List'!B$2:B$2254,'Quality Edu School List'!A$2:A$2254,"")</f>
        <v/>
      </c>
      <c r="B174" s="3183"/>
      <c r="C174" s="2320" t="str">
        <f>_xlfn.XLOOKUP(E174,'Quality Edu School List'!D$2:D$2254,'Quality Edu School List'!C$2:C$2254,"")</f>
        <v/>
      </c>
      <c r="D174" s="2314"/>
      <c r="E174" s="3174"/>
      <c r="F174" s="3175"/>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178"/>
      <c r="Y174" s="3179"/>
      <c r="Z174" s="3178"/>
      <c r="AA174" s="3179"/>
      <c r="AB174" s="2312"/>
      <c r="AT174" s="1790">
        <v>197</v>
      </c>
      <c r="AY174" s="1514"/>
    </row>
    <row r="175" spans="1:51" ht="30" customHeight="1">
      <c r="A175" s="3182" t="str">
        <f>_xlfn.XLOOKUP(D175,'Quality Edu School List'!B$2:B$2254,'Quality Edu School List'!A$2:A$2254,"")</f>
        <v/>
      </c>
      <c r="B175" s="3183"/>
      <c r="C175" s="2320" t="str">
        <f>_xlfn.XLOOKUP(E175,'Quality Edu School List'!D$2:D$2254,'Quality Edu School List'!C$2:C$2254,"")</f>
        <v/>
      </c>
      <c r="D175" s="2314"/>
      <c r="E175" s="3174"/>
      <c r="F175" s="3175"/>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178"/>
      <c r="Y175" s="3179"/>
      <c r="Z175" s="3178"/>
      <c r="AA175" s="3179"/>
      <c r="AB175" s="2312"/>
      <c r="AT175" s="1791">
        <v>198</v>
      </c>
      <c r="AY175" s="1514"/>
    </row>
    <row r="176" spans="1:51" ht="30" customHeight="1">
      <c r="A176" s="3117" t="str">
        <f>_xlfn.XLOOKUP(D176,'Quality Edu School List'!B$2:B$2254,'Quality Edu School List'!A$2:A$2254,"")</f>
        <v/>
      </c>
      <c r="B176" s="3119"/>
      <c r="C176" s="2321" t="str">
        <f>_xlfn.XLOOKUP(E176,'Quality Edu School List'!D$2:D$2254,'Quality Edu School List'!C$2:C$2254,"")</f>
        <v/>
      </c>
      <c r="D176" s="2315"/>
      <c r="E176" s="3176"/>
      <c r="F176" s="3177"/>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180"/>
      <c r="Y176" s="3181"/>
      <c r="Z176" s="3180"/>
      <c r="AA176" s="3181"/>
      <c r="AB176" s="2313"/>
      <c r="AT176" s="1791">
        <v>199</v>
      </c>
      <c r="AY176" s="1514"/>
    </row>
    <row r="177" spans="1:51" ht="15.95" customHeight="1">
      <c r="A177" s="1515"/>
      <c r="B177" s="1533" t="s">
        <v>1792</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90" customHeight="1">
      <c r="A178" s="3123" t="s">
        <v>7737</v>
      </c>
      <c r="B178" s="3124"/>
      <c r="C178" s="3124"/>
      <c r="D178" s="3124"/>
      <c r="E178" s="3124"/>
      <c r="F178" s="3124"/>
      <c r="G178" s="3124"/>
      <c r="H178" s="3124"/>
      <c r="I178" s="3124"/>
      <c r="J178" s="3124"/>
      <c r="K178" s="3124"/>
      <c r="L178" s="3124"/>
      <c r="M178" s="3124"/>
      <c r="N178" s="3124"/>
      <c r="O178" s="3124"/>
      <c r="P178" s="3124"/>
      <c r="Q178" s="3124"/>
      <c r="R178" s="3124"/>
      <c r="S178" s="3124"/>
      <c r="T178" s="3124"/>
      <c r="U178" s="3124"/>
      <c r="V178" s="3124"/>
      <c r="W178" s="3124"/>
      <c r="X178" s="3124"/>
      <c r="Y178" s="3124"/>
      <c r="Z178" s="3124"/>
      <c r="AA178" s="3124"/>
      <c r="AB178" s="3125"/>
      <c r="AC178" s="1574"/>
      <c r="AY178" s="1791">
        <v>201</v>
      </c>
    </row>
    <row r="179" spans="1:51" ht="15.95" customHeight="1">
      <c r="A179" s="1515"/>
      <c r="B179" s="1562" t="s">
        <v>1452</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018"/>
      <c r="B180" s="3019"/>
      <c r="C180" s="3019"/>
      <c r="D180" s="3019"/>
      <c r="E180" s="3019"/>
      <c r="F180" s="3019"/>
      <c r="G180" s="3019"/>
      <c r="H180" s="3019"/>
      <c r="I180" s="3019"/>
      <c r="J180" s="3019"/>
      <c r="K180" s="3019"/>
      <c r="L180" s="3019"/>
      <c r="M180" s="3019"/>
      <c r="N180" s="3019"/>
      <c r="O180" s="3019"/>
      <c r="P180" s="3019"/>
      <c r="Q180" s="3019"/>
      <c r="R180" s="3019"/>
      <c r="S180" s="3019"/>
      <c r="T180" s="3019"/>
      <c r="U180" s="3019"/>
      <c r="V180" s="3019"/>
      <c r="W180" s="3019"/>
      <c r="X180" s="3019"/>
      <c r="Y180" s="3019"/>
      <c r="Z180" s="3019"/>
      <c r="AA180" s="3019"/>
      <c r="AB180" s="3020"/>
      <c r="AC180" s="1567"/>
      <c r="AG180" s="2405"/>
      <c r="AY180" s="1791">
        <v>203</v>
      </c>
    </row>
    <row r="181" spans="1:51" ht="9.75" customHeight="1">
      <c r="AY181" s="1790">
        <v>204</v>
      </c>
    </row>
    <row r="182" spans="1:51" ht="9.75" customHeight="1">
      <c r="AY182" s="1790">
        <v>205</v>
      </c>
    </row>
    <row r="183" spans="1:51" s="1515" customFormat="1" ht="15.95" customHeight="1">
      <c r="A183" s="1534" t="s">
        <v>1500</v>
      </c>
      <c r="B183" s="1535" t="s">
        <v>1880</v>
      </c>
      <c r="E183" s="1535"/>
      <c r="F183" s="1535"/>
      <c r="G183" s="1528" t="str">
        <f>IF(OR($AA$215&gt;0,$AA$233&gt;0,$AA$247&gt;0),"Points already claimed in another restricted section!","")</f>
        <v>Points already claimed in another restricted section!</v>
      </c>
      <c r="T183" s="1726"/>
      <c r="U183" s="1726"/>
      <c r="V183" s="1726"/>
      <c r="W183" s="1726"/>
      <c r="X183" s="1542" t="s">
        <v>1743</v>
      </c>
      <c r="Y183" s="1517">
        <v>10</v>
      </c>
      <c r="Z183" s="2557"/>
      <c r="AA183" s="1589">
        <f>IF(AND(M11 = "New Affordability", M15 = "Revitalization/Redevelopment Plans"),MIN($Y183,SUM(AA190,AA199,AA206)),0)</f>
        <v>0</v>
      </c>
      <c r="AB183" s="1589">
        <f>MIN($Y183,SUM(AB190,AB199,AB206))</f>
        <v>0</v>
      </c>
      <c r="AC183" s="1544" t="s">
        <v>1744</v>
      </c>
      <c r="AD183" s="3156" t="s">
        <v>1881</v>
      </c>
      <c r="AE183" s="3156"/>
      <c r="AF183" s="3156"/>
      <c r="AG183" s="3156"/>
      <c r="AH183" s="1725" t="str">
        <f>$M$15</f>
        <v>Housing Needs Characteristics + Stable Communities Characteristics</v>
      </c>
      <c r="AY183" s="1790">
        <v>206</v>
      </c>
    </row>
    <row r="184" spans="1:51" ht="15.95" customHeight="1">
      <c r="A184" s="1544"/>
      <c r="B184" s="1515" t="s">
        <v>1882</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5.95" customHeight="1">
      <c r="A185" s="1638"/>
      <c r="B185" s="1639" t="s">
        <v>200</v>
      </c>
      <c r="C185" s="1557" t="s">
        <v>1883</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268" t="s">
        <v>1884</v>
      </c>
      <c r="AA185" s="3269"/>
      <c r="AB185" s="3270"/>
      <c r="AE185" s="1512"/>
      <c r="AF185" s="1512"/>
      <c r="AG185" s="1512"/>
      <c r="AY185" s="1791">
        <v>209</v>
      </c>
    </row>
    <row r="186" spans="1:51" s="1515" customFormat="1" ht="15.95" customHeight="1">
      <c r="A186" s="2557"/>
      <c r="B186" s="1550" t="s">
        <v>208</v>
      </c>
      <c r="C186" s="1515" t="s">
        <v>1885</v>
      </c>
      <c r="X186" s="1547"/>
      <c r="Z186" s="3271" t="s">
        <v>1884</v>
      </c>
      <c r="AA186" s="3272"/>
      <c r="AB186" s="3273"/>
      <c r="AE186" s="1512"/>
      <c r="AF186" s="1512"/>
      <c r="AG186" s="1512"/>
      <c r="AY186" s="1791">
        <v>210</v>
      </c>
    </row>
    <row r="187" spans="1:51" s="1515" customFormat="1" ht="15.95" customHeight="1">
      <c r="A187" s="2557"/>
      <c r="B187" s="1639" t="s">
        <v>212</v>
      </c>
      <c r="C187" s="1515" t="s">
        <v>1886</v>
      </c>
      <c r="X187" s="1547"/>
      <c r="Z187" s="3271" t="s">
        <v>1884</v>
      </c>
      <c r="AA187" s="3272"/>
      <c r="AB187" s="3273"/>
      <c r="AE187" s="1512"/>
      <c r="AF187" s="1512"/>
      <c r="AG187" s="1512"/>
      <c r="AY187" s="1791"/>
    </row>
    <row r="188" spans="1:51" s="1515" customFormat="1" ht="15.95" customHeight="1">
      <c r="A188" s="2557"/>
      <c r="B188" s="1550" t="s">
        <v>252</v>
      </c>
      <c r="C188" s="1515" t="s">
        <v>1887</v>
      </c>
      <c r="X188" s="1547"/>
      <c r="Z188" s="3271" t="s">
        <v>1884</v>
      </c>
      <c r="AA188" s="3272"/>
      <c r="AB188" s="3273"/>
      <c r="AE188" s="1512"/>
      <c r="AF188" s="1512"/>
      <c r="AG188" s="1512"/>
      <c r="AY188" s="1791"/>
    </row>
    <row r="189" spans="1:51" s="1515" customFormat="1" ht="15.95" customHeight="1">
      <c r="A189" s="2557"/>
      <c r="B189" s="1550" t="s">
        <v>254</v>
      </c>
      <c r="C189" s="1515" t="s">
        <v>1888</v>
      </c>
      <c r="X189" s="1547"/>
      <c r="Z189" s="3274" t="s">
        <v>1884</v>
      </c>
      <c r="AA189" s="3275"/>
      <c r="AB189" s="3276"/>
      <c r="AC189" s="1454"/>
      <c r="AE189" s="1512"/>
      <c r="AF189" s="1512"/>
      <c r="AG189" s="1512"/>
      <c r="AH189" s="1454"/>
      <c r="AY189" s="1791">
        <v>211</v>
      </c>
    </row>
    <row r="190" spans="1:51" s="1515" customFormat="1" ht="15.95" customHeight="1">
      <c r="A190" s="1517" t="s">
        <v>185</v>
      </c>
      <c r="B190" s="2571" t="s">
        <v>1889</v>
      </c>
      <c r="X190" s="1588" t="s">
        <v>1743</v>
      </c>
      <c r="Y190" s="1517">
        <v>7</v>
      </c>
      <c r="Z190" s="1547"/>
      <c r="AA190" s="2816">
        <f>MIN($Y190,SUM(AA191:AA193))</f>
        <v>0</v>
      </c>
      <c r="AB190" s="2816">
        <f>MIN($Y190,SUM(AB191:AB193))</f>
        <v>0</v>
      </c>
      <c r="AC190" s="1454"/>
      <c r="AE190" s="1512"/>
      <c r="AF190" s="1512"/>
      <c r="AG190" s="1512"/>
      <c r="AH190" s="1454"/>
      <c r="AY190" s="1790">
        <v>212</v>
      </c>
    </row>
    <row r="191" spans="1:51" ht="15.95" customHeight="1">
      <c r="A191" s="1638"/>
      <c r="B191" s="1514" t="s">
        <v>200</v>
      </c>
      <c r="C191" s="2571" t="s">
        <v>1890</v>
      </c>
      <c r="D191" s="2571"/>
      <c r="F191" s="1557"/>
      <c r="G191" s="1557"/>
      <c r="H191" s="1557"/>
      <c r="I191" s="1557"/>
      <c r="J191" s="1557"/>
      <c r="T191" s="2557"/>
      <c r="U191" s="2557"/>
      <c r="V191" s="2557"/>
      <c r="W191" s="2557"/>
      <c r="X191" s="1546" t="str">
        <f>IF(OR($AA191=$Y191,$AA191=0,$AA191=""),"","* * Check Score! * *")</f>
        <v/>
      </c>
      <c r="Y191" s="2557">
        <v>4</v>
      </c>
      <c r="Z191" s="1559"/>
      <c r="AA191" s="2793"/>
      <c r="AB191" s="2794"/>
      <c r="AD191" s="1512"/>
      <c r="AE191" s="1512"/>
      <c r="AF191" s="1512"/>
      <c r="AG191" s="1512"/>
      <c r="AY191" s="1791">
        <v>213</v>
      </c>
    </row>
    <row r="192" spans="1:51" ht="15.95" customHeight="1">
      <c r="A192" s="2553"/>
      <c r="B192" s="1514" t="s">
        <v>208</v>
      </c>
      <c r="C192" s="1514" t="s">
        <v>1891</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c r="AB192" s="1629"/>
      <c r="AC192" s="1607" t="str">
        <f>IF(OR($AA192=$Y192,$AA192=0,$AA192=""),"","*CHECK!*")</f>
        <v/>
      </c>
      <c r="AD192" s="2554"/>
      <c r="AY192" s="1790">
        <v>214</v>
      </c>
    </row>
    <row r="193" spans="1:51" ht="15.95" customHeight="1">
      <c r="A193" s="1638"/>
      <c r="B193" s="1514" t="s">
        <v>212</v>
      </c>
      <c r="C193" s="2571" t="s">
        <v>1892</v>
      </c>
      <c r="D193" s="2571"/>
      <c r="F193" s="1557"/>
      <c r="G193" s="1557"/>
      <c r="H193" s="1557"/>
      <c r="I193" s="1557"/>
      <c r="J193" s="1557"/>
      <c r="T193" s="2557"/>
      <c r="U193" s="2557"/>
      <c r="V193" s="2557"/>
      <c r="W193" s="2557"/>
      <c r="X193" s="1588" t="s">
        <v>1743</v>
      </c>
      <c r="Y193" s="2557">
        <v>2</v>
      </c>
      <c r="Z193" s="1514"/>
      <c r="AA193" s="2787">
        <f>MAX(AA194,AA198)</f>
        <v>0</v>
      </c>
      <c r="AB193" s="2787">
        <f>MAX(AB194,AB198)</f>
        <v>0</v>
      </c>
      <c r="AD193" s="1512"/>
      <c r="AE193" s="1512"/>
      <c r="AF193" s="1512"/>
      <c r="AG193" s="1512"/>
      <c r="AY193" s="1790">
        <v>215</v>
      </c>
    </row>
    <row r="194" spans="1:51" ht="15.95" customHeight="1">
      <c r="A194" s="2557"/>
      <c r="C194" s="2576" t="s">
        <v>1893</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5.95" customHeight="1">
      <c r="A195" s="2553"/>
      <c r="C195" s="1542"/>
      <c r="D195" s="1557" t="s">
        <v>1894</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54"/>
      <c r="AY195" s="1790">
        <v>217</v>
      </c>
    </row>
    <row r="196" spans="1:51" ht="15" customHeight="1">
      <c r="A196" s="2553"/>
      <c r="C196" s="1542"/>
      <c r="D196" s="1557" t="s">
        <v>1895</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54"/>
      <c r="AY196" s="1790">
        <v>218</v>
      </c>
    </row>
    <row r="197" spans="1:51">
      <c r="A197" s="2553"/>
      <c r="C197" s="1542"/>
      <c r="D197" s="1557" t="s">
        <v>1896</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54"/>
      <c r="AY197" s="1790">
        <v>219</v>
      </c>
    </row>
    <row r="198" spans="1:51" ht="15.95" customHeight="1">
      <c r="A198" s="2557"/>
      <c r="C198" s="2576" t="s">
        <v>1897</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c r="AB198" s="2794"/>
      <c r="AY198" s="1790">
        <v>220</v>
      </c>
    </row>
    <row r="199" spans="1:51" ht="15.95" customHeight="1">
      <c r="A199" s="1517" t="s">
        <v>197</v>
      </c>
      <c r="B199" s="1523" t="s">
        <v>1898</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1743</v>
      </c>
      <c r="Y199" s="1517">
        <v>3</v>
      </c>
      <c r="Z199" s="1565"/>
      <c r="AA199" s="2779">
        <f>IF(AA200="yes",MIN($Y199,AA201+AA205),0)</f>
        <v>0</v>
      </c>
      <c r="AB199" s="2779">
        <f>IF(AB200="yes",MIN($Y199,AB201+AB205),0)</f>
        <v>0</v>
      </c>
      <c r="AC199" s="1544"/>
      <c r="AD199" s="2554"/>
      <c r="AY199" s="1791">
        <v>222</v>
      </c>
    </row>
    <row r="200" spans="1:51" ht="15.95" customHeight="1">
      <c r="A200" s="1517"/>
      <c r="B200" s="1515" t="s">
        <v>1899</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c r="AB200" s="1631"/>
      <c r="AC200" s="1544"/>
      <c r="AD200" s="2554"/>
      <c r="AY200" s="1791">
        <v>223</v>
      </c>
    </row>
    <row r="201" spans="1:51" ht="15.95" customHeight="1">
      <c r="A201" s="1534"/>
      <c r="B201" s="1639" t="s">
        <v>200</v>
      </c>
      <c r="C201" s="2576" t="s">
        <v>1900</v>
      </c>
      <c r="D201" s="2576"/>
      <c r="E201" s="2559"/>
      <c r="F201" s="2559"/>
      <c r="G201" s="2559"/>
      <c r="H201" s="2559"/>
      <c r="I201" s="2559"/>
      <c r="X201" s="1588" t="s">
        <v>1743</v>
      </c>
      <c r="Y201" s="2557">
        <v>3</v>
      </c>
      <c r="Z201" s="1565"/>
      <c r="AA201" s="2817">
        <f>MIN($Y201,AA202+AA203+AA204)</f>
        <v>0</v>
      </c>
      <c r="AB201" s="2817">
        <f>MIN($Y201,AB202+AB203+AB204)</f>
        <v>0</v>
      </c>
      <c r="AC201" s="1544"/>
      <c r="AD201" s="2554"/>
      <c r="AY201" s="1791">
        <v>224</v>
      </c>
    </row>
    <row r="202" spans="1:51" ht="15.95" customHeight="1">
      <c r="B202" s="1551" t="s">
        <v>202</v>
      </c>
      <c r="C202" s="1514" t="s">
        <v>1901</v>
      </c>
      <c r="X202" s="1546" t="str">
        <f>IF(OR($AA202=$Y202,$AA202=0,$AA202=""),"","* * Check Score! * *")</f>
        <v/>
      </c>
      <c r="Y202" s="1531">
        <v>1</v>
      </c>
      <c r="AA202" s="2793"/>
      <c r="AB202" s="2794"/>
      <c r="AY202" s="1790">
        <v>225</v>
      </c>
    </row>
    <row r="203" spans="1:51" ht="15.95" customHeight="1">
      <c r="B203" s="1551" t="s">
        <v>205</v>
      </c>
      <c r="C203" s="1514" t="s">
        <v>1902</v>
      </c>
      <c r="X203" s="1546" t="str">
        <f t="shared" ref="X203" si="10">IF(OR($AA203=$Y203,$AA203=0,$AA203=""),"","* * Check Score! * *")</f>
        <v/>
      </c>
      <c r="Y203" s="1531">
        <v>1</v>
      </c>
      <c r="AA203" s="1448"/>
      <c r="AB203" s="1609"/>
      <c r="AY203" s="1791">
        <v>226</v>
      </c>
    </row>
    <row r="204" spans="1:51" ht="15.95" customHeight="1">
      <c r="B204" s="1551" t="s">
        <v>207</v>
      </c>
      <c r="C204" s="1514" t="s">
        <v>1903</v>
      </c>
      <c r="X204" s="1546"/>
      <c r="Y204" s="1531">
        <v>1</v>
      </c>
      <c r="AA204" s="1449"/>
      <c r="AB204" s="1608"/>
      <c r="AY204" s="1790">
        <v>227</v>
      </c>
    </row>
    <row r="205" spans="1:51" ht="15.95" customHeight="1">
      <c r="A205" s="1534"/>
      <c r="B205" s="1550" t="s">
        <v>208</v>
      </c>
      <c r="C205" s="1515" t="s">
        <v>1904</v>
      </c>
      <c r="D205" s="1515"/>
      <c r="E205" s="1588"/>
      <c r="F205" s="2559"/>
      <c r="G205" s="2559"/>
      <c r="H205" s="2559"/>
      <c r="I205" s="2559"/>
      <c r="Y205" s="2557">
        <v>2</v>
      </c>
      <c r="AA205" s="1449"/>
      <c r="AB205" s="1608"/>
      <c r="AC205" s="2507" t="str">
        <f>IF(OR(AA$247&gt;0,AA$215&gt;0),"Applicant is ineligible for points in this section!  Points claimed in Stable Communities or Community Designations.","")</f>
        <v/>
      </c>
      <c r="AD205" s="1512"/>
      <c r="AE205" s="1512"/>
      <c r="AF205" s="1512"/>
      <c r="AG205" s="1512"/>
      <c r="AY205" s="1790">
        <v>228</v>
      </c>
    </row>
    <row r="206" spans="1:51" ht="15.95" customHeight="1">
      <c r="A206" s="1517" t="s">
        <v>218</v>
      </c>
      <c r="B206" s="1523" t="s">
        <v>1905</v>
      </c>
      <c r="E206" s="1515"/>
      <c r="G206" s="1640"/>
      <c r="T206" s="1641"/>
      <c r="U206" s="1641"/>
      <c r="V206" s="1641"/>
      <c r="W206" s="1641"/>
      <c r="X206" s="1588" t="s">
        <v>1743</v>
      </c>
      <c r="Y206" s="1517">
        <v>3</v>
      </c>
      <c r="Z206" s="1547"/>
      <c r="AA206" s="2818">
        <f>MIN($Y206,AA207+AA208)</f>
        <v>0</v>
      </c>
      <c r="AB206" s="2818">
        <f>MIN($Y206,AB207+AB208)</f>
        <v>0</v>
      </c>
      <c r="AC206" s="1549"/>
      <c r="AD206" s="2554"/>
      <c r="AY206" s="1790">
        <v>229</v>
      </c>
    </row>
    <row r="207" spans="1:51" ht="15.95" customHeight="1">
      <c r="A207" s="1515"/>
      <c r="B207" s="1639" t="s">
        <v>200</v>
      </c>
      <c r="C207" s="2576" t="s">
        <v>1906</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1743</v>
      </c>
      <c r="Y207" s="1565">
        <v>2</v>
      </c>
      <c r="Z207" s="1565"/>
      <c r="AA207" s="1449"/>
      <c r="AB207" s="1608"/>
      <c r="AY207" s="1790">
        <v>230</v>
      </c>
    </row>
    <row r="208" spans="1:51" ht="15.95" customHeight="1">
      <c r="A208" s="1515"/>
      <c r="B208" s="1550" t="s">
        <v>208</v>
      </c>
      <c r="C208" s="2576" t="s">
        <v>1907</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c r="AB208" s="1608"/>
      <c r="AY208" s="1790">
        <v>231</v>
      </c>
    </row>
    <row r="209" spans="1:51" s="1515" customFormat="1" ht="15.95" customHeight="1">
      <c r="B209" s="1533" t="s">
        <v>1792</v>
      </c>
      <c r="X209" s="1514"/>
      <c r="Y209" s="2557"/>
      <c r="Z209" s="1531"/>
      <c r="AA209" s="1525"/>
      <c r="AB209" s="1524"/>
      <c r="AY209" s="1790">
        <v>232</v>
      </c>
    </row>
    <row r="210" spans="1:51" ht="104.25" customHeight="1">
      <c r="A210" s="3123" t="s">
        <v>670</v>
      </c>
      <c r="B210" s="3124"/>
      <c r="C210" s="3124"/>
      <c r="D210" s="3124"/>
      <c r="E210" s="3124"/>
      <c r="F210" s="3124"/>
      <c r="G210" s="3124"/>
      <c r="H210" s="3124"/>
      <c r="I210" s="3124"/>
      <c r="J210" s="3124"/>
      <c r="K210" s="3124"/>
      <c r="L210" s="3124"/>
      <c r="M210" s="3124"/>
      <c r="N210" s="3124"/>
      <c r="O210" s="3124"/>
      <c r="P210" s="3124"/>
      <c r="Q210" s="3124"/>
      <c r="R210" s="3124"/>
      <c r="S210" s="3124"/>
      <c r="T210" s="3124"/>
      <c r="U210" s="3124"/>
      <c r="V210" s="3124"/>
      <c r="W210" s="3124"/>
      <c r="X210" s="3124"/>
      <c r="Y210" s="3124"/>
      <c r="Z210" s="3124"/>
      <c r="AA210" s="3124"/>
      <c r="AB210" s="3125"/>
      <c r="AC210" s="1574"/>
      <c r="AY210" s="1791">
        <v>233</v>
      </c>
    </row>
    <row r="211" spans="1:51" s="1515" customFormat="1" ht="15.95" customHeight="1">
      <c r="B211" s="1596" t="s">
        <v>1452</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018"/>
      <c r="B212" s="3019"/>
      <c r="C212" s="3019"/>
      <c r="D212" s="3019"/>
      <c r="E212" s="3019"/>
      <c r="F212" s="3019"/>
      <c r="G212" s="3019"/>
      <c r="H212" s="3019"/>
      <c r="I212" s="3019"/>
      <c r="J212" s="3019"/>
      <c r="K212" s="3019"/>
      <c r="L212" s="3019"/>
      <c r="M212" s="3019"/>
      <c r="N212" s="3019"/>
      <c r="O212" s="3019"/>
      <c r="P212" s="3019"/>
      <c r="Q212" s="3019"/>
      <c r="R212" s="3019"/>
      <c r="S212" s="3019"/>
      <c r="T212" s="3019"/>
      <c r="U212" s="3019"/>
      <c r="V212" s="3019"/>
      <c r="W212" s="3019"/>
      <c r="X212" s="3019"/>
      <c r="Y212" s="3019"/>
      <c r="Z212" s="3019"/>
      <c r="AA212" s="3019"/>
      <c r="AB212" s="3020"/>
      <c r="AC212" s="1567"/>
      <c r="AY212" s="1791">
        <v>235</v>
      </c>
    </row>
    <row r="213" spans="1:51" ht="9.75" customHeight="1">
      <c r="AY213" s="1790">
        <v>236</v>
      </c>
    </row>
    <row r="214" spans="1:51" ht="9.75" customHeight="1">
      <c r="AY214" s="1790">
        <v>237</v>
      </c>
    </row>
    <row r="215" spans="1:51" s="1515" customFormat="1" ht="15.95" customHeight="1">
      <c r="A215" s="1534" t="s">
        <v>1516</v>
      </c>
      <c r="B215" s="1535" t="s">
        <v>1908</v>
      </c>
      <c r="E215" s="1535"/>
      <c r="F215" s="1528" t="str">
        <f>IF(OR($AA$183&gt;0,$AA$233&gt;0,$AA$247&gt;0),"Points already claimed in another restricted section!","")</f>
        <v>Points already claimed in another restricted section!</v>
      </c>
      <c r="G215" s="2562"/>
      <c r="H215" s="2562"/>
      <c r="T215" s="1569"/>
      <c r="U215" s="1569"/>
      <c r="V215" s="1569"/>
      <c r="W215" s="1569"/>
      <c r="X215" s="1546" t="str">
        <f>IF(OR($AA215=$Y215,$AA215=0,$AA215=""),"",IF(OR($AA215&lt;$V$219,$AA215&gt;$V$219),"* * Check Score! * *",""))</f>
        <v/>
      </c>
      <c r="Y215" s="1517">
        <v>10</v>
      </c>
      <c r="Z215" s="2557"/>
      <c r="AA215" s="1543">
        <f>IF($M$15="Stable Communities",V219,0)</f>
        <v>0</v>
      </c>
      <c r="AB215" s="1543">
        <f>IF($M$16="Stable Communities",X219,0)</f>
        <v>0</v>
      </c>
      <c r="AC215" s="1544" t="s">
        <v>1744</v>
      </c>
      <c r="AD215" s="3156" t="s">
        <v>1881</v>
      </c>
      <c r="AE215" s="3156"/>
      <c r="AF215" s="3156"/>
      <c r="AG215" s="3156"/>
      <c r="AH215" s="1725" t="str">
        <f>$M$15</f>
        <v>Housing Needs Characteristics + Stable Communities Characteristics</v>
      </c>
      <c r="AI215" s="1514"/>
      <c r="AJ215" s="1514"/>
      <c r="AY215" s="1791">
        <v>238</v>
      </c>
    </row>
    <row r="216" spans="1:51" s="1515" customFormat="1" ht="15.95" customHeight="1">
      <c r="A216" s="1534"/>
      <c r="B216" s="1523" t="s">
        <v>1909</v>
      </c>
      <c r="E216" s="1535"/>
      <c r="S216" s="2420"/>
      <c r="T216" s="2421"/>
      <c r="U216" s="2451"/>
      <c r="V216" s="3280" t="s">
        <v>1730</v>
      </c>
      <c r="W216" s="3281"/>
      <c r="X216" s="2819" t="s">
        <v>1724</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200</v>
      </c>
      <c r="C217" s="2562" t="s">
        <v>1910</v>
      </c>
      <c r="D217" s="2562"/>
      <c r="E217" s="1636"/>
      <c r="F217" s="1535"/>
      <c r="S217" s="2452"/>
      <c r="T217" s="2421"/>
      <c r="U217" s="2453"/>
      <c r="V217" s="3282">
        <f>COUNTIF(E222:F226,"Yes")</f>
        <v>2</v>
      </c>
      <c r="W217" s="3283"/>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5.95" customHeight="1">
      <c r="A218" s="1534"/>
      <c r="B218" s="1550" t="s">
        <v>208</v>
      </c>
      <c r="C218" s="2562" t="s">
        <v>1911</v>
      </c>
      <c r="D218" s="2562"/>
      <c r="E218" s="1636"/>
      <c r="F218" s="1535"/>
      <c r="S218" s="2452"/>
      <c r="T218" s="2421"/>
      <c r="U218" s="2453"/>
      <c r="V218" s="3284" t="str">
        <f>IF(OR(S222="Near Census Tract",S223="Near Census Tract",S224="Near Census Tract",S225="Near Census Tract",S226="Near Census Tract"),"Yes","No")</f>
        <v>No</v>
      </c>
      <c r="W218" s="3285"/>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5.95" customHeight="1">
      <c r="A219" s="1534"/>
      <c r="B219" s="1550" t="s">
        <v>212</v>
      </c>
      <c r="C219" s="2562" t="s">
        <v>1912</v>
      </c>
      <c r="D219" s="2562"/>
      <c r="E219" s="1636"/>
      <c r="F219" s="1535"/>
      <c r="S219" s="2454"/>
      <c r="T219" s="2421"/>
      <c r="U219" s="2455"/>
      <c r="V219" s="3286">
        <f>IF(AND(V217=2,V218="No"),6,IF(AND(V217=3,V218="No"),8,IF(AND(V217&gt;=4,V218="No"),10,IF(AND(V217=2,V218="Yes"),5,IF(AND(V217=3,V218="Yes"),7,IF(AND(V217&gt;=4,V218="Yes"),9,0))))))</f>
        <v>6</v>
      </c>
      <c r="W219" s="3287"/>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3165" t="s">
        <v>1913</v>
      </c>
      <c r="C221" s="3165"/>
      <c r="D221" s="2573"/>
      <c r="E221" s="3161" t="s">
        <v>1914</v>
      </c>
      <c r="F221" s="3161"/>
      <c r="G221" s="3161"/>
      <c r="H221" s="3161"/>
      <c r="I221" s="3161"/>
      <c r="J221" s="3161"/>
      <c r="K221" s="3161"/>
      <c r="L221" s="3161"/>
      <c r="M221" s="3160" t="s">
        <v>1915</v>
      </c>
      <c r="N221" s="3160"/>
      <c r="O221" s="3160"/>
      <c r="P221" s="3160"/>
      <c r="Q221" s="3160"/>
      <c r="R221" s="3160"/>
      <c r="S221" s="3160" t="s">
        <v>1916</v>
      </c>
      <c r="T221" s="3160"/>
      <c r="U221" s="3160"/>
      <c r="V221" s="3160"/>
      <c r="W221" s="3160"/>
      <c r="X221" s="3160"/>
      <c r="Y221" s="3160"/>
      <c r="Z221" s="3160"/>
      <c r="AA221" s="3160"/>
      <c r="AB221" s="3160"/>
      <c r="AE221" s="1760"/>
      <c r="AF221" s="1760"/>
      <c r="AG221" s="1760"/>
      <c r="AH221" s="1760"/>
      <c r="AI221" s="1760"/>
      <c r="AJ221" s="1514"/>
      <c r="AY221" s="1791">
        <v>253</v>
      </c>
    </row>
    <row r="222" spans="1:51" s="1515" customFormat="1" ht="15" customHeight="1">
      <c r="A222" s="1534"/>
      <c r="C222" s="1515" t="s">
        <v>1917</v>
      </c>
      <c r="E222" s="3302" t="s">
        <v>7444</v>
      </c>
      <c r="F222" s="3303"/>
      <c r="G222" s="3359"/>
      <c r="H222" s="3359"/>
      <c r="I222" s="3359"/>
      <c r="J222" s="3359"/>
      <c r="K222" s="3359"/>
      <c r="L222" s="3360"/>
      <c r="M222" s="3345"/>
      <c r="N222" s="3345"/>
      <c r="O222" s="3345"/>
      <c r="P222" s="3345"/>
      <c r="Q222" s="3345"/>
      <c r="R222" s="3346"/>
      <c r="S222" s="3291" t="s">
        <v>7703</v>
      </c>
      <c r="T222" s="3292"/>
      <c r="U222" s="3293"/>
      <c r="V222" s="3288"/>
      <c r="W222" s="3289"/>
      <c r="X222" s="3290"/>
      <c r="Y222" s="3164" t="s">
        <v>7704</v>
      </c>
      <c r="Z222" s="3164"/>
      <c r="AA222" s="3164"/>
      <c r="AB222" s="3164"/>
      <c r="AD222" s="1755"/>
      <c r="AE222" s="1756"/>
      <c r="AF222" s="1756"/>
      <c r="AG222" s="1756"/>
      <c r="AH222" s="1756"/>
      <c r="AI222" s="1756"/>
      <c r="AJ222" s="1514"/>
      <c r="AY222" s="1791">
        <v>254</v>
      </c>
    </row>
    <row r="223" spans="1:51" s="1515" customFormat="1" ht="14.25">
      <c r="A223" s="1534"/>
      <c r="C223" s="1515" t="s">
        <v>1918</v>
      </c>
      <c r="E223" s="3357" t="s">
        <v>7474</v>
      </c>
      <c r="F223" s="3358"/>
      <c r="G223" s="3361"/>
      <c r="H223" s="3361"/>
      <c r="I223" s="3361"/>
      <c r="J223" s="3361"/>
      <c r="K223" s="3361"/>
      <c r="L223" s="3362"/>
      <c r="M223" s="3347">
        <v>2023</v>
      </c>
      <c r="N223" s="3347"/>
      <c r="O223" s="3347"/>
      <c r="P223" s="3347"/>
      <c r="Q223" s="3347"/>
      <c r="R223" s="3348"/>
      <c r="S223" s="3351" t="s">
        <v>7703</v>
      </c>
      <c r="T223" s="3352"/>
      <c r="U223" s="3353"/>
      <c r="V223" s="3294"/>
      <c r="W223" s="3295"/>
      <c r="X223" s="3296"/>
      <c r="Y223" s="3162" t="s">
        <v>7704</v>
      </c>
      <c r="Z223" s="3162"/>
      <c r="AA223" s="3162"/>
      <c r="AB223" s="3162"/>
      <c r="AD223" s="1757"/>
      <c r="AE223" s="1758"/>
      <c r="AF223" s="1758"/>
      <c r="AG223" s="1754"/>
      <c r="AH223" s="1759"/>
      <c r="AI223" s="1758"/>
      <c r="AJ223" s="1514"/>
      <c r="AY223" s="1790">
        <v>255</v>
      </c>
    </row>
    <row r="224" spans="1:51" s="1515" customFormat="1" ht="14.25">
      <c r="A224" s="1534"/>
      <c r="C224" s="1515" t="s">
        <v>1919</v>
      </c>
      <c r="E224" s="3357" t="s">
        <v>7444</v>
      </c>
      <c r="F224" s="3358"/>
      <c r="G224" s="3361"/>
      <c r="H224" s="3361"/>
      <c r="I224" s="3361"/>
      <c r="J224" s="3361"/>
      <c r="K224" s="3361"/>
      <c r="L224" s="3362"/>
      <c r="M224" s="3347">
        <v>2023</v>
      </c>
      <c r="N224" s="3347"/>
      <c r="O224" s="3347"/>
      <c r="P224" s="3347"/>
      <c r="Q224" s="3347"/>
      <c r="R224" s="3348"/>
      <c r="S224" s="3351" t="s">
        <v>7703</v>
      </c>
      <c r="T224" s="3352"/>
      <c r="U224" s="3353"/>
      <c r="V224" s="3294"/>
      <c r="W224" s="3295"/>
      <c r="X224" s="3296"/>
      <c r="Y224" s="3162" t="s">
        <v>7704</v>
      </c>
      <c r="Z224" s="3162"/>
      <c r="AA224" s="3162"/>
      <c r="AB224" s="3162"/>
      <c r="AD224" s="1757"/>
      <c r="AE224" s="1758"/>
      <c r="AF224" s="1758"/>
      <c r="AG224" s="1754"/>
      <c r="AH224" s="1759"/>
      <c r="AI224" s="1758"/>
      <c r="AJ224" s="1514"/>
      <c r="AY224" s="1791">
        <v>256</v>
      </c>
    </row>
    <row r="225" spans="1:51" s="1515" customFormat="1" ht="14.25">
      <c r="A225" s="1534"/>
      <c r="C225" s="1515" t="s">
        <v>1920</v>
      </c>
      <c r="E225" s="3357" t="s">
        <v>7474</v>
      </c>
      <c r="F225" s="3358"/>
      <c r="G225" s="3361"/>
      <c r="H225" s="3361"/>
      <c r="I225" s="3361"/>
      <c r="J225" s="3361"/>
      <c r="K225" s="3361"/>
      <c r="L225" s="3362"/>
      <c r="M225" s="3347">
        <v>2023</v>
      </c>
      <c r="N225" s="3347"/>
      <c r="O225" s="3347"/>
      <c r="P225" s="3347"/>
      <c r="Q225" s="3347"/>
      <c r="R225" s="3348"/>
      <c r="S225" s="3351" t="s">
        <v>7703</v>
      </c>
      <c r="T225" s="3352"/>
      <c r="U225" s="3353"/>
      <c r="V225" s="3294"/>
      <c r="W225" s="3295"/>
      <c r="X225" s="3296"/>
      <c r="Y225" s="3162" t="s">
        <v>7704</v>
      </c>
      <c r="Z225" s="3162"/>
      <c r="AA225" s="3162"/>
      <c r="AB225" s="3162"/>
      <c r="AD225" s="1757"/>
      <c r="AE225" s="1758"/>
      <c r="AF225" s="1758"/>
      <c r="AG225" s="1754"/>
      <c r="AH225" s="1759"/>
      <c r="AI225" s="1758"/>
      <c r="AJ225" s="1514"/>
      <c r="AY225" s="1790">
        <v>257</v>
      </c>
    </row>
    <row r="226" spans="1:51" s="1515" customFormat="1">
      <c r="A226" s="1534"/>
      <c r="C226" s="1515" t="s">
        <v>1921</v>
      </c>
      <c r="E226" s="3363" t="s">
        <v>7474</v>
      </c>
      <c r="F226" s="3364"/>
      <c r="G226" s="3304"/>
      <c r="H226" s="3304"/>
      <c r="I226" s="3304"/>
      <c r="J226" s="3304"/>
      <c r="K226" s="3304"/>
      <c r="L226" s="3305"/>
      <c r="M226" s="3349">
        <v>2023</v>
      </c>
      <c r="N226" s="3349"/>
      <c r="O226" s="3349"/>
      <c r="P226" s="3349"/>
      <c r="Q226" s="3349"/>
      <c r="R226" s="3350"/>
      <c r="S226" s="3354" t="s">
        <v>7703</v>
      </c>
      <c r="T226" s="3355"/>
      <c r="U226" s="3356"/>
      <c r="V226" s="3297"/>
      <c r="W226" s="3298"/>
      <c r="X226" s="3299"/>
      <c r="Y226" s="3163" t="s">
        <v>7704</v>
      </c>
      <c r="Z226" s="3163"/>
      <c r="AA226" s="3163"/>
      <c r="AB226" s="3163"/>
      <c r="AD226" s="882"/>
      <c r="AE226" s="1512"/>
      <c r="AF226" s="1512"/>
      <c r="AG226" s="1512"/>
      <c r="AH226" s="1514"/>
      <c r="AI226" s="1514"/>
      <c r="AJ226" s="1514"/>
      <c r="AY226" s="1790">
        <v>258</v>
      </c>
    </row>
    <row r="227" spans="1:51" ht="15.95" customHeight="1">
      <c r="A227" s="1515"/>
      <c r="B227" s="1533" t="s">
        <v>1792</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15" customHeight="1">
      <c r="A228" s="3123" t="s">
        <v>7735</v>
      </c>
      <c r="B228" s="3124"/>
      <c r="C228" s="3124"/>
      <c r="D228" s="3124"/>
      <c r="E228" s="3124"/>
      <c r="F228" s="3124"/>
      <c r="G228" s="3124"/>
      <c r="H228" s="3124"/>
      <c r="I228" s="3124"/>
      <c r="J228" s="3124"/>
      <c r="K228" s="3124"/>
      <c r="L228" s="3124"/>
      <c r="M228" s="3124"/>
      <c r="N228" s="3124"/>
      <c r="O228" s="3124"/>
      <c r="P228" s="3124"/>
      <c r="Q228" s="3124"/>
      <c r="R228" s="3124"/>
      <c r="S228" s="3124"/>
      <c r="T228" s="3124"/>
      <c r="U228" s="3124"/>
      <c r="V228" s="3124"/>
      <c r="W228" s="3124"/>
      <c r="X228" s="3124"/>
      <c r="Y228" s="3124"/>
      <c r="Z228" s="3124"/>
      <c r="AA228" s="3124"/>
      <c r="AB228" s="3125"/>
      <c r="AC228" s="1574"/>
      <c r="AD228" s="882"/>
      <c r="AY228" s="1790">
        <v>260</v>
      </c>
    </row>
    <row r="229" spans="1:51" ht="15.95" customHeight="1">
      <c r="A229" s="1515"/>
      <c r="B229" s="1562" t="s">
        <v>1452</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018"/>
      <c r="B230" s="3019"/>
      <c r="C230" s="3019"/>
      <c r="D230" s="3019"/>
      <c r="E230" s="3019"/>
      <c r="F230" s="3019"/>
      <c r="G230" s="3019"/>
      <c r="H230" s="3019"/>
      <c r="I230" s="3019"/>
      <c r="J230" s="3019"/>
      <c r="K230" s="3019"/>
      <c r="L230" s="3019"/>
      <c r="M230" s="3019"/>
      <c r="N230" s="3019"/>
      <c r="O230" s="3019"/>
      <c r="P230" s="3019"/>
      <c r="Q230" s="3019"/>
      <c r="R230" s="3019"/>
      <c r="S230" s="3019"/>
      <c r="T230" s="3019"/>
      <c r="U230" s="3019"/>
      <c r="V230" s="3019"/>
      <c r="W230" s="3019"/>
      <c r="X230" s="3019"/>
      <c r="Y230" s="3019"/>
      <c r="Z230" s="3019"/>
      <c r="AA230" s="3019"/>
      <c r="AB230" s="3020"/>
      <c r="AC230" s="1567"/>
      <c r="AD230" s="882"/>
      <c r="AY230" s="1791">
        <v>262</v>
      </c>
    </row>
    <row r="231" spans="1:51" ht="9.75" customHeight="1">
      <c r="AY231" s="1791">
        <v>263</v>
      </c>
    </row>
    <row r="232" spans="1:51" ht="9.75" customHeight="1">
      <c r="AY232" s="1791">
        <v>264</v>
      </c>
    </row>
    <row r="233" spans="1:51" s="1515" customFormat="1" ht="15.95" customHeight="1">
      <c r="A233" s="1534" t="s">
        <v>1520</v>
      </c>
      <c r="B233" s="1535" t="s">
        <v>1922</v>
      </c>
      <c r="E233" s="1535"/>
      <c r="F233" s="1528" t="str">
        <f>IF(AND(AND(OR($AA$183&gt;0,$AA$215&gt;0,$AA$247&gt;0), NOT(M15 = "Housing Needs Characteristics + Revitilization Characteristics")), NOT(M15 = "Housing Needs Characteristics + Revitilization Characteristics")), "Points already claimed in another restricted section!","")</f>
        <v/>
      </c>
      <c r="G233" s="1528"/>
      <c r="H233" s="1528"/>
      <c r="I233" s="1528"/>
      <c r="J233" s="1528"/>
      <c r="K233" s="1528"/>
      <c r="L233" s="1528"/>
      <c r="M233" s="1528"/>
      <c r="N233" s="1528"/>
      <c r="O233" s="1528"/>
      <c r="P233" s="1528"/>
      <c r="Q233" s="1528"/>
      <c r="R233" s="1528"/>
      <c r="S233" s="1528"/>
      <c r="U233" s="3343" t="str">
        <f>IF(AND(AA233&gt;0,NOT($M$11="New Affordability")), "Not New Affordability!","")</f>
        <v/>
      </c>
      <c r="V233" s="3343"/>
      <c r="W233" s="3343"/>
      <c r="X233" s="1542" t="s">
        <v>1743</v>
      </c>
      <c r="Y233" s="1517">
        <v>10</v>
      </c>
      <c r="Z233" s="2557"/>
      <c r="AA233" s="1543">
        <f>IF(OR($X$11="Atlanta Metro",AA$183&gt;0,AA$215&gt;0,AA$247&gt;0),0,IF(AND($M$11="New Affordability",$C$16="9%",AA239+AA240&lt;=$Y233),AA239+AA240,0))</f>
        <v>10</v>
      </c>
      <c r="AB233" s="1543">
        <f>IF(AND($M$12="New Affordability",NOT($X$12="Atlanta Metro"),$C$16="9%",AB239+AB240&lt;=$Y233),AB239+AB240,0)</f>
        <v>0</v>
      </c>
      <c r="AC233" s="1544" t="s">
        <v>1744</v>
      </c>
      <c r="AD233" s="3156" t="s">
        <v>1881</v>
      </c>
      <c r="AE233" s="3156"/>
      <c r="AF233" s="3156"/>
      <c r="AG233" s="3156"/>
      <c r="AH233" s="1725" t="str">
        <f>$M$15</f>
        <v>Housing Needs Characteristics + Stable Communities Characteristics</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5.95" customHeight="1">
      <c r="A235" s="1534"/>
      <c r="C235" s="2428" t="s">
        <v>1923</v>
      </c>
      <c r="D235" s="2429"/>
      <c r="E235" s="2430"/>
      <c r="F235" s="2430"/>
      <c r="G235" s="2431"/>
      <c r="H235" s="2431"/>
      <c r="I235" s="2431"/>
      <c r="J235" s="2431"/>
      <c r="K235" s="2431"/>
      <c r="L235" s="2447"/>
      <c r="M235" s="2447"/>
      <c r="N235" s="2447"/>
      <c r="O235" s="2447"/>
      <c r="P235" s="2447"/>
      <c r="Q235" s="2431"/>
      <c r="R235" s="2447"/>
      <c r="S235" s="2447"/>
      <c r="T235" s="2566" t="s">
        <v>1730</v>
      </c>
      <c r="U235" s="2441" t="s">
        <v>1724</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5.95" customHeight="1">
      <c r="A236" s="1534"/>
      <c r="B236" s="1535"/>
      <c r="C236" s="2443"/>
      <c r="E236" s="1515" t="s">
        <v>1924</v>
      </c>
      <c r="F236" s="1535"/>
      <c r="L236" s="2564"/>
      <c r="M236" s="2564"/>
      <c r="N236" s="2564"/>
      <c r="O236" s="2564"/>
      <c r="P236" s="2564"/>
      <c r="R236" s="2564"/>
      <c r="S236" s="2564"/>
      <c r="T236" s="2564">
        <f>MAX(AA183,AA190+AA199+AA206)</f>
        <v>0</v>
      </c>
      <c r="U236" s="2433">
        <f>MAX(AB183,AB190+AB199+AB206)</f>
        <v>0</v>
      </c>
      <c r="V236" s="1649"/>
      <c r="W236" s="1649"/>
      <c r="X236" s="1569"/>
      <c r="Y236" s="3343" t="str">
        <f>$X$11</f>
        <v>Other Metro</v>
      </c>
      <c r="Z236" s="3343"/>
      <c r="AA236" s="3343"/>
      <c r="AB236" s="3343"/>
      <c r="AC236" s="1544"/>
      <c r="AD236" s="2554"/>
      <c r="AE236" s="1512"/>
      <c r="AF236" s="1512"/>
      <c r="AG236" s="1512"/>
      <c r="AH236" s="1514"/>
      <c r="AI236" s="1514"/>
      <c r="AJ236" s="1514"/>
      <c r="AY236" s="1790">
        <v>307</v>
      </c>
    </row>
    <row r="237" spans="1:51" s="1515" customFormat="1" ht="15.95" customHeight="1">
      <c r="A237" s="1534"/>
      <c r="B237" s="1535"/>
      <c r="C237" s="2443"/>
      <c r="E237" s="1515" t="s">
        <v>1925</v>
      </c>
      <c r="F237" s="1535"/>
      <c r="L237" s="1651"/>
      <c r="M237" s="1651"/>
      <c r="N237" s="1651"/>
      <c r="O237" s="1651"/>
      <c r="P237" s="1651"/>
      <c r="R237" s="1651"/>
      <c r="S237" s="1651"/>
      <c r="T237" s="1651">
        <f>MAX($V$219,$AA$215)</f>
        <v>6</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5.95" customHeight="1">
      <c r="A239" s="1517" t="s">
        <v>185</v>
      </c>
      <c r="B239" s="2556" t="s">
        <v>1926</v>
      </c>
      <c r="E239" s="2576"/>
      <c r="F239" s="2576"/>
      <c r="G239" s="2576"/>
      <c r="H239" s="2576"/>
      <c r="I239" s="2576"/>
      <c r="X239" s="1546" t="str">
        <f>IF(OR($AA239=$Y239,$AA239=0,$AA239=""),"","* * Check Score! * *")</f>
        <v/>
      </c>
      <c r="Y239" s="2558">
        <v>5</v>
      </c>
      <c r="Z239" s="1547"/>
      <c r="AA239" s="2791">
        <v>5</v>
      </c>
      <c r="AB239" s="2792"/>
      <c r="AC239" s="2568"/>
      <c r="AD239" s="1512"/>
      <c r="AE239" s="1512"/>
      <c r="AF239" s="1512"/>
      <c r="AG239" s="1512"/>
      <c r="AH239" s="1512"/>
      <c r="AY239" s="1791">
        <v>310</v>
      </c>
    </row>
    <row r="240" spans="1:51" ht="15.95" customHeight="1">
      <c r="A240" s="1517" t="s">
        <v>197</v>
      </c>
      <c r="B240" s="2556" t="s">
        <v>1927</v>
      </c>
      <c r="E240" s="2576"/>
      <c r="K240" s="1662" t="str">
        <f>IF(AND(AA239=$Y239,OR((AA183+AA199+AA206)&gt;=5,V219&gt;=5)),"Eligible","Currently not eligible")</f>
        <v>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5</v>
      </c>
      <c r="AB240" s="2779">
        <f>IF(AND($M$15="Housing Needs Characteristics + Stable Communities Characteristics",$AA239&gt;0,$AA239=$Y239,$V219&gt;=5),MIN($V219,$Y$240),IF(AND($M$15="Housing Needs Characteristics + Revitalization Characteristics",$AA239&gt;0,$AA239=$Y239,AB183&gt;=5),MIN(AB183,$Y$240),0))</f>
        <v>5</v>
      </c>
      <c r="AC240" s="2568"/>
      <c r="AD240" s="1512"/>
      <c r="AE240" s="1512"/>
      <c r="AF240" s="1512"/>
      <c r="AG240" s="1512"/>
      <c r="AH240" s="1512"/>
      <c r="AY240" s="1790">
        <v>311</v>
      </c>
    </row>
    <row r="241" spans="1:53" ht="15.95" customHeight="1">
      <c r="A241" s="1515"/>
      <c r="B241" s="1533" t="s">
        <v>1792</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30.95" customHeight="1">
      <c r="A242" s="3123" t="s">
        <v>7702</v>
      </c>
      <c r="B242" s="3124"/>
      <c r="C242" s="3124"/>
      <c r="D242" s="3124"/>
      <c r="E242" s="3124"/>
      <c r="F242" s="3124"/>
      <c r="G242" s="3124"/>
      <c r="H242" s="3124"/>
      <c r="I242" s="3124"/>
      <c r="J242" s="3124"/>
      <c r="K242" s="3124"/>
      <c r="L242" s="3124"/>
      <c r="M242" s="3124"/>
      <c r="N242" s="3124"/>
      <c r="O242" s="3124"/>
      <c r="P242" s="3124"/>
      <c r="Q242" s="3124"/>
      <c r="R242" s="3124"/>
      <c r="S242" s="3124"/>
      <c r="T242" s="3124"/>
      <c r="U242" s="3124"/>
      <c r="V242" s="3124"/>
      <c r="W242" s="3124"/>
      <c r="X242" s="3124"/>
      <c r="Y242" s="3124"/>
      <c r="Z242" s="3124"/>
      <c r="AA242" s="3124"/>
      <c r="AB242" s="3125"/>
      <c r="AC242" s="1574"/>
      <c r="AY242" s="1791">
        <v>313</v>
      </c>
    </row>
    <row r="243" spans="1:53" ht="15.95" customHeight="1">
      <c r="A243" s="1515"/>
      <c r="B243" s="1562" t="s">
        <v>1452</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018"/>
      <c r="B244" s="3019"/>
      <c r="C244" s="3019"/>
      <c r="D244" s="3019"/>
      <c r="E244" s="3019"/>
      <c r="F244" s="3019"/>
      <c r="G244" s="3019"/>
      <c r="H244" s="3019"/>
      <c r="I244" s="3019"/>
      <c r="J244" s="3019"/>
      <c r="K244" s="3019"/>
      <c r="L244" s="3019"/>
      <c r="M244" s="3019"/>
      <c r="N244" s="3019"/>
      <c r="O244" s="3019"/>
      <c r="P244" s="3019"/>
      <c r="Q244" s="3019"/>
      <c r="R244" s="3019"/>
      <c r="S244" s="3019"/>
      <c r="T244" s="3019"/>
      <c r="U244" s="3019"/>
      <c r="V244" s="3019"/>
      <c r="W244" s="3019"/>
      <c r="X244" s="3019"/>
      <c r="Y244" s="3019"/>
      <c r="Z244" s="3019"/>
      <c r="AA244" s="3019"/>
      <c r="AB244" s="3020"/>
      <c r="AC244" s="1567"/>
      <c r="AY244" s="1790">
        <v>315</v>
      </c>
    </row>
    <row r="245" spans="1:53" ht="7.5" customHeight="1">
      <c r="AY245" s="1791">
        <v>316</v>
      </c>
    </row>
    <row r="246" spans="1:53" ht="7.5" customHeight="1">
      <c r="AY246" s="1791">
        <v>317</v>
      </c>
      <c r="BA246" s="1648"/>
    </row>
    <row r="247" spans="1:53" s="1515" customFormat="1" ht="15.95" customHeight="1">
      <c r="A247" s="1534" t="s">
        <v>1522</v>
      </c>
      <c r="B247" s="1535" t="s">
        <v>1928</v>
      </c>
      <c r="E247" s="1535"/>
      <c r="F247" s="3011" t="str">
        <f>IF(OR($AA$183&gt;0,$AA$215&gt;0,$AA$233&gt;0),"Points already claimed in another restricted section!","")</f>
        <v>Points already claimed in another restricted section!</v>
      </c>
      <c r="G247" s="3011"/>
      <c r="H247" s="3011"/>
      <c r="I247" s="3011"/>
      <c r="J247" s="3011"/>
      <c r="K247" s="3011"/>
      <c r="L247" s="3011"/>
      <c r="M247" s="3011"/>
      <c r="N247" s="3011"/>
      <c r="O247" s="3011"/>
      <c r="P247" s="3011"/>
      <c r="Q247" s="3011"/>
      <c r="R247" s="3011"/>
      <c r="S247" s="3011"/>
      <c r="T247" s="3011"/>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1744</v>
      </c>
      <c r="AD247" s="3156" t="s">
        <v>1881</v>
      </c>
      <c r="AE247" s="3156"/>
      <c r="AF247" s="3156"/>
      <c r="AG247" s="3156"/>
      <c r="AH247" s="1725" t="str">
        <f>$M$15</f>
        <v>Housing Needs Characteristics + Stable Communities Characteristics</v>
      </c>
      <c r="AY247" s="1790">
        <v>265</v>
      </c>
    </row>
    <row r="248" spans="1:53" ht="15.95" customHeight="1">
      <c r="A248" s="1517" t="s">
        <v>185</v>
      </c>
      <c r="B248" s="3366" t="s">
        <v>1929</v>
      </c>
      <c r="C248" s="3366"/>
      <c r="D248" s="3366"/>
      <c r="E248" s="3366"/>
      <c r="F248" s="3366"/>
      <c r="G248" s="3366"/>
      <c r="H248" s="2576"/>
      <c r="I248" s="2576"/>
      <c r="X248" s="2576"/>
      <c r="Y248" s="2558">
        <v>13</v>
      </c>
      <c r="Z248" s="1547"/>
      <c r="AA248" s="2777"/>
      <c r="AB248" s="2778"/>
      <c r="AC248" s="2568"/>
      <c r="AD248" s="1512"/>
      <c r="AE248" s="1512"/>
      <c r="AF248" s="1512"/>
      <c r="AG248" s="1512"/>
      <c r="AH248" s="1512"/>
      <c r="AY248" s="1791">
        <v>266</v>
      </c>
    </row>
    <row r="249" spans="1:53" ht="15.95" customHeight="1">
      <c r="A249" s="1517" t="s">
        <v>197</v>
      </c>
      <c r="B249" s="2556" t="s">
        <v>1930</v>
      </c>
      <c r="E249" s="2576"/>
      <c r="X249" s="2576"/>
      <c r="Y249" s="2558">
        <v>10</v>
      </c>
      <c r="Z249" s="1547"/>
      <c r="AA249" s="1450"/>
      <c r="AB249" s="1553"/>
      <c r="AC249" s="2568"/>
      <c r="AD249" s="1512"/>
      <c r="AE249" s="1512"/>
      <c r="AF249" s="1512"/>
      <c r="AG249" s="1512"/>
      <c r="AH249" s="1512"/>
      <c r="AY249" s="1790">
        <v>267</v>
      </c>
    </row>
    <row r="250" spans="1:53" ht="15.95" customHeight="1">
      <c r="A250" s="1515"/>
      <c r="B250" s="1533" t="s">
        <v>1792</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123" t="s">
        <v>670</v>
      </c>
      <c r="B251" s="3124"/>
      <c r="C251" s="3124"/>
      <c r="D251" s="3124"/>
      <c r="E251" s="3124"/>
      <c r="F251" s="3124"/>
      <c r="G251" s="3124"/>
      <c r="H251" s="3124"/>
      <c r="I251" s="3124"/>
      <c r="J251" s="3124"/>
      <c r="K251" s="3124"/>
      <c r="L251" s="3124"/>
      <c r="M251" s="3124"/>
      <c r="N251" s="3124"/>
      <c r="O251" s="3124"/>
      <c r="P251" s="3124"/>
      <c r="Q251" s="3124"/>
      <c r="R251" s="3124"/>
      <c r="S251" s="3124"/>
      <c r="T251" s="3124"/>
      <c r="U251" s="3124"/>
      <c r="V251" s="3124"/>
      <c r="W251" s="3124"/>
      <c r="X251" s="3124"/>
      <c r="Y251" s="3124"/>
      <c r="Z251" s="3124"/>
      <c r="AA251" s="3124"/>
      <c r="AB251" s="3125"/>
      <c r="AC251" s="1574"/>
      <c r="AY251" s="1790">
        <v>269</v>
      </c>
    </row>
    <row r="252" spans="1:53" ht="15.95" customHeight="1">
      <c r="A252" s="1515"/>
      <c r="B252" s="1562" t="s">
        <v>1452</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018"/>
      <c r="B253" s="3019"/>
      <c r="C253" s="3019"/>
      <c r="D253" s="3019"/>
      <c r="E253" s="3019"/>
      <c r="F253" s="3019"/>
      <c r="G253" s="3019"/>
      <c r="H253" s="3019"/>
      <c r="I253" s="3019"/>
      <c r="J253" s="3019"/>
      <c r="K253" s="3019"/>
      <c r="L253" s="3019"/>
      <c r="M253" s="3019"/>
      <c r="N253" s="3019"/>
      <c r="O253" s="3019"/>
      <c r="P253" s="3019"/>
      <c r="Q253" s="3019"/>
      <c r="R253" s="3019"/>
      <c r="S253" s="3019"/>
      <c r="T253" s="3019"/>
      <c r="U253" s="3019"/>
      <c r="V253" s="3019"/>
      <c r="W253" s="3019"/>
      <c r="X253" s="3019"/>
      <c r="Y253" s="3019"/>
      <c r="Z253" s="3019"/>
      <c r="AA253" s="3019"/>
      <c r="AB253" s="3020"/>
      <c r="AC253" s="1567"/>
      <c r="AY253" s="1791">
        <v>271</v>
      </c>
    </row>
    <row r="254" spans="1:53" ht="9.75" customHeight="1">
      <c r="AY254" s="1791">
        <v>272</v>
      </c>
    </row>
    <row r="255" spans="1:53" ht="9.75" customHeight="1" thickBot="1">
      <c r="Y255" s="2406"/>
      <c r="AY255" s="1791">
        <v>273</v>
      </c>
    </row>
    <row r="256" spans="1:53" ht="15.95" customHeight="1">
      <c r="A256" s="1534" t="s">
        <v>1528</v>
      </c>
      <c r="B256" s="1535" t="s">
        <v>1931</v>
      </c>
      <c r="F256" s="2554" t="str">
        <f>IF(AND(AA256&gt;0,NOT($M$11="New Affordability"),NOT($C$16="9%")), "Ineligible, not New Affordability and 9%!","")</f>
        <v/>
      </c>
      <c r="H256" s="1635" t="str">
        <f>$C$16</f>
        <v>9%</v>
      </c>
      <c r="I256" s="1587" t="str">
        <f>$X$11</f>
        <v>Other Metro</v>
      </c>
      <c r="X256" s="1542" t="s">
        <v>1743</v>
      </c>
      <c r="Y256" s="2420">
        <f>IF(AND('Part I-Project Identification'!F12 ="9% Credits", NOT(X11 ="Rural")),4,3)</f>
        <v>4</v>
      </c>
      <c r="Z256" s="2557"/>
      <c r="AA256" s="1543">
        <f>IF(AND($M$11="New Affordability",AA257="Yes",$H$256="9%",OR($I$256="Atlanta Metro",$I$256="Other Metro")),4,IF(AND($M$11="New Affordability",AA257="Yes"),3,0))</f>
        <v>4</v>
      </c>
      <c r="AB256" s="1543">
        <f>IF(AND($M$12="New Affordability", AB257="Yes", K260="Yes", Y260="Yes", $C$16="9%", OR($X$12="Atlanta Metro",$X$12="Other Metro")),4,IF(OR(AND($X$12="Rural", $C$16="9%", AB257="Yes",K260="Yes", Y260="Yes"),AND($C$16="4%", AB257="Yes",  K260="Yes", Y260="Yes")),3,0))</f>
        <v>0</v>
      </c>
      <c r="AC256" s="1544" t="s">
        <v>1744</v>
      </c>
      <c r="AD256" s="2554"/>
      <c r="AE256" s="1512"/>
      <c r="AF256" s="1512"/>
      <c r="AG256" s="1512"/>
      <c r="AH256" s="1512"/>
      <c r="AI256" s="1659"/>
      <c r="AJ256" s="1659"/>
      <c r="AY256" s="1790">
        <v>274</v>
      </c>
    </row>
    <row r="257" spans="1:51" ht="15.95" customHeight="1">
      <c r="A257" s="1660"/>
      <c r="B257" s="1557" t="s">
        <v>1932</v>
      </c>
      <c r="C257" s="1557"/>
      <c r="D257" s="1557"/>
      <c r="E257" s="1557"/>
      <c r="F257" s="1557"/>
      <c r="G257" s="1557"/>
      <c r="H257" s="1557"/>
      <c r="S257" s="3158" t="s">
        <v>1933</v>
      </c>
      <c r="T257" s="3158"/>
      <c r="U257" s="3158"/>
      <c r="V257" s="1536"/>
      <c r="W257" s="1536"/>
      <c r="X257" s="2296"/>
      <c r="Z257" s="1559"/>
      <c r="AA257" s="2782" t="s">
        <v>7444</v>
      </c>
      <c r="AB257" s="2783"/>
      <c r="AC257" s="1661"/>
      <c r="AD257" s="1620"/>
      <c r="AE257" s="1620"/>
      <c r="AF257" s="1620"/>
      <c r="AI257" s="1620"/>
      <c r="AJ257" s="1620"/>
      <c r="AK257" s="1620"/>
      <c r="AL257" s="1620"/>
      <c r="AM257" s="1620"/>
      <c r="AY257" s="1791">
        <v>275</v>
      </c>
    </row>
    <row r="258" spans="1:51" ht="15.95" customHeight="1">
      <c r="A258" s="1660"/>
      <c r="B258" s="1557"/>
      <c r="C258" s="1557"/>
      <c r="D258" s="1557"/>
      <c r="E258" s="1557"/>
      <c r="F258" s="3096" t="s">
        <v>1934</v>
      </c>
      <c r="G258" s="3096"/>
      <c r="H258" s="3096"/>
      <c r="I258" s="3096"/>
      <c r="J258" s="3096"/>
      <c r="K258" s="3096" t="s">
        <v>45</v>
      </c>
      <c r="L258" s="3096"/>
      <c r="M258" s="3096"/>
      <c r="N258" s="3096"/>
      <c r="O258" s="3096"/>
      <c r="P258" s="3096"/>
      <c r="Q258" s="3096"/>
      <c r="R258" s="3096"/>
      <c r="S258" s="3158"/>
      <c r="T258" s="3158"/>
      <c r="U258" s="3158"/>
      <c r="V258" s="2560"/>
      <c r="W258" s="2560"/>
      <c r="Y258" s="2297"/>
      <c r="Z258" s="2297"/>
      <c r="AA258" s="2297"/>
      <c r="AB258" s="2297"/>
      <c r="AC258" s="1620"/>
      <c r="AD258" s="1620"/>
      <c r="AE258" s="1620"/>
      <c r="AF258" s="1620"/>
      <c r="AI258" s="1620"/>
      <c r="AJ258" s="1620"/>
      <c r="AK258" s="1620"/>
      <c r="AL258" s="1620"/>
      <c r="AM258" s="1620"/>
      <c r="AY258" s="1790">
        <v>276</v>
      </c>
    </row>
    <row r="259" spans="1:51">
      <c r="A259" s="1660"/>
      <c r="B259" s="2405" t="s">
        <v>1935</v>
      </c>
      <c r="F259" s="3036" t="s">
        <v>7705</v>
      </c>
      <c r="G259" s="3037"/>
      <c r="H259" s="3037"/>
      <c r="I259" s="3037"/>
      <c r="J259" s="3159"/>
      <c r="K259" s="3335" t="s">
        <v>7706</v>
      </c>
      <c r="L259" s="3336"/>
      <c r="M259" s="3336"/>
      <c r="N259" s="3336"/>
      <c r="O259" s="3336"/>
      <c r="P259" s="3336"/>
      <c r="Q259" s="3336"/>
      <c r="R259" s="3337"/>
      <c r="S259" s="3168">
        <v>45922</v>
      </c>
      <c r="T259" s="3169"/>
      <c r="U259" s="3170"/>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c r="A260" s="1578"/>
      <c r="B260" s="2562" t="s">
        <v>1936</v>
      </c>
      <c r="F260" s="3036"/>
      <c r="G260" s="3037"/>
      <c r="H260" s="3037"/>
      <c r="I260" s="3037"/>
      <c r="J260" s="3167"/>
      <c r="K260" s="3166"/>
      <c r="L260" s="3037"/>
      <c r="M260" s="3037"/>
      <c r="N260" s="3037"/>
      <c r="O260" s="3037"/>
      <c r="P260" s="3037"/>
      <c r="Q260" s="3037"/>
      <c r="R260" s="3037"/>
      <c r="S260" s="3171"/>
      <c r="T260" s="3171"/>
      <c r="U260" s="3172"/>
      <c r="V260" s="2448"/>
      <c r="W260" s="2448"/>
      <c r="X260" s="2421"/>
      <c r="Y260" s="3157"/>
      <c r="Z260" s="3157"/>
      <c r="AA260" s="3157"/>
      <c r="AB260" s="3157"/>
      <c r="AY260" s="1790">
        <v>278</v>
      </c>
    </row>
    <row r="261" spans="1:51" ht="15.95"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5.95" customHeight="1">
      <c r="A262" s="1515"/>
      <c r="B262" s="1533" t="s">
        <v>1792</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30" customHeight="1">
      <c r="A263" s="3123" t="s">
        <v>7707</v>
      </c>
      <c r="B263" s="3124"/>
      <c r="C263" s="3124"/>
      <c r="D263" s="3124"/>
      <c r="E263" s="3124"/>
      <c r="F263" s="3124"/>
      <c r="G263" s="3124"/>
      <c r="H263" s="3124"/>
      <c r="I263" s="3124"/>
      <c r="J263" s="3124"/>
      <c r="K263" s="3124"/>
      <c r="L263" s="3124"/>
      <c r="M263" s="3124"/>
      <c r="N263" s="3124"/>
      <c r="O263" s="3124"/>
      <c r="P263" s="3124"/>
      <c r="Q263" s="3124"/>
      <c r="R263" s="3124"/>
      <c r="S263" s="3124"/>
      <c r="T263" s="3124"/>
      <c r="U263" s="3124"/>
      <c r="V263" s="3124"/>
      <c r="W263" s="3124"/>
      <c r="X263" s="3124"/>
      <c r="Y263" s="3124"/>
      <c r="Z263" s="3124"/>
      <c r="AA263" s="3124"/>
      <c r="AB263" s="3125"/>
      <c r="AC263" s="1574"/>
      <c r="AY263" s="1790">
        <v>281</v>
      </c>
    </row>
    <row r="264" spans="1:51" ht="15.95" customHeight="1">
      <c r="B264" s="1562" t="s">
        <v>1452</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018"/>
      <c r="B265" s="3019"/>
      <c r="C265" s="3019"/>
      <c r="D265" s="3019"/>
      <c r="E265" s="3019"/>
      <c r="F265" s="3019"/>
      <c r="G265" s="3019"/>
      <c r="H265" s="3019"/>
      <c r="I265" s="3019"/>
      <c r="J265" s="3019"/>
      <c r="K265" s="3019"/>
      <c r="L265" s="3019"/>
      <c r="M265" s="3019"/>
      <c r="N265" s="3019"/>
      <c r="O265" s="3019"/>
      <c r="P265" s="3019"/>
      <c r="Q265" s="3019"/>
      <c r="R265" s="3019"/>
      <c r="S265" s="3019"/>
      <c r="T265" s="3019"/>
      <c r="U265" s="3019"/>
      <c r="V265" s="3019"/>
      <c r="W265" s="3019"/>
      <c r="X265" s="3019"/>
      <c r="Y265" s="3019"/>
      <c r="Z265" s="3019"/>
      <c r="AA265" s="3019"/>
      <c r="AB265" s="3020"/>
      <c r="AC265" s="1567"/>
      <c r="AY265" s="1791">
        <v>283</v>
      </c>
    </row>
    <row r="266" spans="1:51" ht="9.75" customHeight="1">
      <c r="AY266" s="1791">
        <v>284</v>
      </c>
    </row>
    <row r="267" spans="1:51" ht="9.75" customHeight="1" thickBot="1">
      <c r="AY267" s="1790">
        <v>285</v>
      </c>
    </row>
    <row r="268" spans="1:51" ht="15.95" customHeight="1" thickBot="1">
      <c r="A268" s="1534" t="s">
        <v>1548</v>
      </c>
      <c r="B268" s="1535" t="s">
        <v>1937</v>
      </c>
      <c r="H268" s="1545"/>
      <c r="J268" s="1569" t="str">
        <f>IF($AA$256&gt;0,"Points already claimed in another restricted section!","")</f>
        <v>Points already claimed in another restricted section!</v>
      </c>
      <c r="T268" s="1658" t="str">
        <f>IF(AND(SUM(AA270,AA273)&gt;0,NOT($M$11="New Affordability"),NOT($C$16="9%")), "Not 9% New Affordability!","")</f>
        <v/>
      </c>
      <c r="U268" s="1658"/>
      <c r="V268" s="1658"/>
      <c r="W268" s="1658"/>
      <c r="X268" s="1542" t="s">
        <v>1743</v>
      </c>
      <c r="Y268" s="1517">
        <v>5</v>
      </c>
      <c r="Z268" s="2557"/>
      <c r="AA268" s="1543">
        <f>IF(AND(AA256=0,$M$11="New Affordability",$C$16="9%"),MIN($Y268,MAX(AA270,AA273)),0)</f>
        <v>0</v>
      </c>
      <c r="AB268" s="1543">
        <f>IF(AND(AB256=0,$M$12="New Affordability",$C$16="9%"),MIN($Y268,MAX(AB270,AB273)),0)</f>
        <v>0</v>
      </c>
      <c r="AC268" s="1544" t="s">
        <v>1744</v>
      </c>
      <c r="AD268" s="2554"/>
      <c r="AE268" s="1512"/>
      <c r="AF268" s="1512"/>
      <c r="AG268" s="1512"/>
      <c r="AH268" s="1512"/>
      <c r="AI268" s="1659"/>
      <c r="AJ268" s="1659"/>
      <c r="AY268" s="1790">
        <v>286</v>
      </c>
    </row>
    <row r="269" spans="1:51" ht="15" customHeight="1">
      <c r="B269" s="1514" t="s">
        <v>1938</v>
      </c>
      <c r="AY269" s="1791">
        <v>287</v>
      </c>
    </row>
    <row r="270" spans="1:51" s="1515" customFormat="1" ht="15.95" customHeight="1">
      <c r="A270" s="1517" t="s">
        <v>185</v>
      </c>
      <c r="B270" s="1523" t="s">
        <v>1939</v>
      </c>
      <c r="X270" s="1588" t="s">
        <v>1743</v>
      </c>
      <c r="Y270" s="2557">
        <v>5</v>
      </c>
      <c r="Z270" s="1547"/>
      <c r="AA270" s="2816">
        <f>IF(AA271=15,5,IF(AA271=6,4,IF(AA271=4,3,IF(AND(AA271=3,AA272="Yes"),4,IF(AND(AA271=2,AA272="Yes"),3,0)))))</f>
        <v>0</v>
      </c>
      <c r="AB270" s="2816">
        <f>IF(AB271=15,5,IF(AB271=6,4,IF(AB271=4,3,IF(AND(AB271=3,AB272="Yes"),4,IF(AND(AB271=2,AB272="Yes"),3,0)))))</f>
        <v>0</v>
      </c>
      <c r="AC270" s="1549" t="str">
        <f>IF(OR($AA270&lt;=$Y270,$AA270=""),"","*CHECK!*")</f>
        <v/>
      </c>
      <c r="AD270" s="2554"/>
      <c r="AY270" s="1791">
        <v>291</v>
      </c>
    </row>
    <row r="271" spans="1:51" ht="15.75" customHeight="1">
      <c r="B271" s="1514" t="s">
        <v>1940</v>
      </c>
      <c r="AA271" s="1449"/>
      <c r="AB271" s="1601"/>
      <c r="AY271" s="1790">
        <v>294</v>
      </c>
    </row>
    <row r="272" spans="1:51" ht="15" customHeight="1">
      <c r="B272" s="1514" t="s">
        <v>1941</v>
      </c>
      <c r="X272" s="1751">
        <f>AA155</f>
        <v>0</v>
      </c>
      <c r="AA272" s="1753"/>
      <c r="AB272" s="1609"/>
      <c r="AY272" s="1791">
        <v>293</v>
      </c>
    </row>
    <row r="273" spans="1:60" ht="15.95" customHeight="1">
      <c r="A273" s="1517" t="s">
        <v>197</v>
      </c>
      <c r="B273" s="1523" t="s">
        <v>1942</v>
      </c>
      <c r="H273" s="2562"/>
      <c r="J273" s="1545"/>
      <c r="X273" s="1588" t="s">
        <v>1743</v>
      </c>
      <c r="Y273" s="2557">
        <v>3</v>
      </c>
      <c r="Z273" s="1547"/>
      <c r="AA273" s="2816">
        <f>IF(AND(AA274=15,AA275&lt;0.15,AA275&lt;&gt;""),3,IF(AND(AA274=15,AA275&gt;=0.15,AA275&lt;0.25),2,IF(AND(AA274=5,AA275&lt;0.15,AA275&lt;&gt;""),1,0)))</f>
        <v>0</v>
      </c>
      <c r="AB273" s="2816">
        <f>IF(AND(AB274=15,AB275&lt;0.15,AB275&lt;&gt;""),3,IF(AND(AB274=15,AB275&gt;=0.15,AB275&lt;0.25),2,IF(AND(AB274=5,AB275&lt;0.15,AB275&lt;&gt;""),1,0)))</f>
        <v>0</v>
      </c>
      <c r="AC273" s="1549" t="str">
        <f>IF(OR($AA273&lt;=$Y273,$AA273=""),"","*CHECK!*")</f>
        <v/>
      </c>
      <c r="AD273" s="2554"/>
      <c r="AY273" s="1790">
        <v>295</v>
      </c>
    </row>
    <row r="274" spans="1:60" ht="15.95" customHeight="1">
      <c r="A274" s="1517"/>
      <c r="B274" s="1515" t="s">
        <v>1943</v>
      </c>
      <c r="H274" s="2562"/>
      <c r="J274" s="1545"/>
      <c r="X274" s="1588"/>
      <c r="Y274" s="2557"/>
      <c r="Z274" s="1547"/>
      <c r="AA274" s="2298"/>
      <c r="AB274" s="1602"/>
      <c r="AC274" s="1549"/>
      <c r="AD274" s="2554"/>
      <c r="AY274" s="1790"/>
    </row>
    <row r="275" spans="1:60" ht="15.75" customHeight="1">
      <c r="B275" s="1514" t="s">
        <v>1944</v>
      </c>
      <c r="AA275" s="2299"/>
      <c r="AB275" s="2300"/>
      <c r="AY275" s="1791">
        <v>296</v>
      </c>
    </row>
    <row r="276" spans="1:60" ht="9.75" customHeight="1">
      <c r="AY276" s="1791">
        <v>297</v>
      </c>
    </row>
    <row r="277" spans="1:60" ht="15.95" customHeight="1">
      <c r="A277" s="1515"/>
      <c r="B277" s="1533" t="s">
        <v>1792</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30" customHeight="1">
      <c r="A278" s="3123" t="s">
        <v>670</v>
      </c>
      <c r="B278" s="3124"/>
      <c r="C278" s="3124"/>
      <c r="D278" s="3124"/>
      <c r="E278" s="3124"/>
      <c r="F278" s="3124"/>
      <c r="G278" s="3124"/>
      <c r="H278" s="3124"/>
      <c r="I278" s="3124"/>
      <c r="J278" s="3124"/>
      <c r="K278" s="3124"/>
      <c r="L278" s="3124"/>
      <c r="M278" s="3124"/>
      <c r="N278" s="3124"/>
      <c r="O278" s="3124"/>
      <c r="P278" s="3124"/>
      <c r="Q278" s="3124"/>
      <c r="R278" s="3124"/>
      <c r="S278" s="3124"/>
      <c r="T278" s="3124"/>
      <c r="U278" s="3124"/>
      <c r="V278" s="3124"/>
      <c r="W278" s="3124"/>
      <c r="X278" s="3124"/>
      <c r="Y278" s="3124"/>
      <c r="Z278" s="3124"/>
      <c r="AA278" s="3124"/>
      <c r="AB278" s="3125"/>
      <c r="AC278" s="1574"/>
      <c r="AY278" s="1791">
        <v>299</v>
      </c>
    </row>
    <row r="279" spans="1:60" ht="15.95" customHeight="1">
      <c r="B279" s="1562" t="s">
        <v>1452</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018"/>
      <c r="B280" s="3019"/>
      <c r="C280" s="3019"/>
      <c r="D280" s="3019"/>
      <c r="E280" s="3019"/>
      <c r="F280" s="3019"/>
      <c r="G280" s="3019"/>
      <c r="H280" s="3019"/>
      <c r="I280" s="3019"/>
      <c r="J280" s="3019"/>
      <c r="K280" s="3019"/>
      <c r="L280" s="3019"/>
      <c r="M280" s="3019"/>
      <c r="N280" s="3019"/>
      <c r="O280" s="3019"/>
      <c r="P280" s="3019"/>
      <c r="Q280" s="3019"/>
      <c r="R280" s="3019"/>
      <c r="S280" s="3019"/>
      <c r="T280" s="3019"/>
      <c r="U280" s="3019"/>
      <c r="V280" s="3019"/>
      <c r="W280" s="3019"/>
      <c r="X280" s="3019"/>
      <c r="Y280" s="3019"/>
      <c r="Z280" s="3019"/>
      <c r="AA280" s="3019"/>
      <c r="AB280" s="3020"/>
      <c r="AC280" s="1567"/>
      <c r="AY280" s="1791">
        <v>301</v>
      </c>
    </row>
    <row r="281" spans="1:60" ht="9.75" customHeight="1">
      <c r="AY281" s="1790">
        <v>302</v>
      </c>
    </row>
    <row r="282" spans="1:60" ht="9.75" customHeight="1">
      <c r="AY282" s="1790">
        <v>303</v>
      </c>
    </row>
    <row r="283" spans="1:60" s="1515" customFormat="1" ht="15.95" customHeight="1">
      <c r="A283" s="1534" t="s">
        <v>1557</v>
      </c>
      <c r="B283" s="1535" t="s">
        <v>1945</v>
      </c>
      <c r="E283" s="1535"/>
      <c r="F283" s="1535"/>
      <c r="H283" s="1515" t="str">
        <f>$X$11</f>
        <v>Other Metro</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v>1</v>
      </c>
      <c r="AB283" s="1632"/>
      <c r="AC283" s="1544" t="s">
        <v>1744</v>
      </c>
      <c r="AD283" s="1512"/>
      <c r="AE283" s="1512"/>
      <c r="AF283" s="1512"/>
      <c r="AG283" s="1512"/>
      <c r="AH283" s="1512"/>
      <c r="AY283" s="1791">
        <v>318</v>
      </c>
    </row>
    <row r="284" spans="1:60" s="1515" customFormat="1" ht="15.95" customHeight="1">
      <c r="A284" s="1534"/>
      <c r="B284" s="1535"/>
      <c r="E284" s="1535"/>
      <c r="F284" s="1535"/>
      <c r="Y284" s="2553"/>
      <c r="AC284" s="1544"/>
      <c r="AD284" s="1512"/>
      <c r="AE284" s="1512"/>
      <c r="AF284" s="1512"/>
      <c r="AG284" s="1512"/>
      <c r="AH284" s="1512"/>
      <c r="AI284" s="1514"/>
      <c r="AJ284" s="1514"/>
      <c r="AY284" s="1791">
        <v>319</v>
      </c>
    </row>
    <row r="285" spans="1:60" s="1515" customFormat="1" ht="15.95" customHeight="1">
      <c r="A285" s="1534"/>
      <c r="B285" s="1535"/>
      <c r="C285" s="1515" t="s">
        <v>1946</v>
      </c>
      <c r="F285" s="1535"/>
      <c r="X285" s="3344" t="s">
        <v>1947</v>
      </c>
      <c r="Y285" s="3344"/>
      <c r="AA285" s="3344" t="s">
        <v>1948</v>
      </c>
      <c r="AB285" s="3344"/>
      <c r="AC285" s="1544"/>
      <c r="AD285" s="1512"/>
      <c r="AE285" s="1512"/>
      <c r="AF285" s="1512"/>
      <c r="AG285" s="1512"/>
      <c r="AH285" s="1512"/>
      <c r="AI285" s="1514"/>
      <c r="AJ285" s="1514"/>
      <c r="AY285" s="1790">
        <v>320</v>
      </c>
    </row>
    <row r="286" spans="1:60" s="1515" customFormat="1" ht="15.95" customHeight="1">
      <c r="A286" s="1534"/>
      <c r="C286" s="1515" t="s">
        <v>1949</v>
      </c>
      <c r="E286" s="1535"/>
      <c r="F286" s="1515" t="s">
        <v>235</v>
      </c>
      <c r="T286" s="1515" t="s">
        <v>47</v>
      </c>
      <c r="U286" s="2557"/>
      <c r="V286" s="2562" t="s">
        <v>1950</v>
      </c>
      <c r="W286" s="2557"/>
      <c r="X286" s="3344"/>
      <c r="Y286" s="3344"/>
      <c r="AA286" s="3344"/>
      <c r="AB286" s="3344"/>
      <c r="AC286" s="1544"/>
      <c r="AD286" s="1512"/>
      <c r="AE286" s="1512"/>
      <c r="AF286" s="1512"/>
      <c r="AG286" s="1512"/>
      <c r="AH286" s="1512"/>
      <c r="AI286" s="1514"/>
      <c r="AJ286" s="1514"/>
      <c r="AY286" s="1791">
        <v>321</v>
      </c>
      <c r="BH286" s="1648"/>
    </row>
    <row r="287" spans="1:60" s="1515" customFormat="1" ht="15.95" customHeight="1">
      <c r="A287" s="1534"/>
      <c r="B287" s="1639" t="s">
        <v>200</v>
      </c>
      <c r="C287" s="3187" t="s">
        <v>7731</v>
      </c>
      <c r="D287" s="3188"/>
      <c r="E287" s="3189"/>
      <c r="F287" s="3187" t="s">
        <v>7732</v>
      </c>
      <c r="G287" s="3188"/>
      <c r="H287" s="3188"/>
      <c r="I287" s="3188"/>
      <c r="J287" s="3188"/>
      <c r="K287" s="3188"/>
      <c r="L287" s="3188"/>
      <c r="M287" s="3188"/>
      <c r="N287" s="3188"/>
      <c r="O287" s="3188"/>
      <c r="P287" s="3188"/>
      <c r="Q287" s="3188"/>
      <c r="R287" s="3188"/>
      <c r="S287" s="3189"/>
      <c r="T287" s="3196" t="s">
        <v>2104</v>
      </c>
      <c r="U287" s="3197"/>
      <c r="V287" s="3196">
        <v>30213</v>
      </c>
      <c r="W287" s="3197"/>
      <c r="X287" s="3200">
        <v>16</v>
      </c>
      <c r="Y287" s="3200"/>
      <c r="Z287" s="1636"/>
      <c r="AA287" s="3184">
        <v>250</v>
      </c>
      <c r="AB287" s="3184"/>
      <c r="AC287" s="1544"/>
      <c r="AD287" s="1512"/>
      <c r="AE287" s="1512"/>
      <c r="AF287" s="1512"/>
      <c r="AG287" s="1512"/>
      <c r="AH287" s="1512"/>
      <c r="AI287" s="1514"/>
      <c r="AJ287" s="1514"/>
      <c r="AY287" s="1790">
        <v>322</v>
      </c>
    </row>
    <row r="288" spans="1:60" s="1515" customFormat="1" ht="15.95" customHeight="1">
      <c r="A288" s="1534"/>
      <c r="B288" s="1550" t="s">
        <v>208</v>
      </c>
      <c r="C288" s="3190"/>
      <c r="D288" s="3191"/>
      <c r="E288" s="3192"/>
      <c r="F288" s="3190"/>
      <c r="G288" s="3191"/>
      <c r="H288" s="3191"/>
      <c r="I288" s="3191"/>
      <c r="J288" s="3191"/>
      <c r="K288" s="3191"/>
      <c r="L288" s="3191"/>
      <c r="M288" s="3191"/>
      <c r="N288" s="3191"/>
      <c r="O288" s="3191"/>
      <c r="P288" s="3191"/>
      <c r="Q288" s="3191"/>
      <c r="R288" s="3191"/>
      <c r="S288" s="3192"/>
      <c r="T288" s="3201"/>
      <c r="U288" s="3202"/>
      <c r="V288" s="3201"/>
      <c r="W288" s="3202"/>
      <c r="X288" s="3185"/>
      <c r="Y288" s="3185"/>
      <c r="Z288" s="1636"/>
      <c r="AA288" s="3186"/>
      <c r="AB288" s="3186"/>
      <c r="AC288" s="1544"/>
      <c r="AD288" s="1512"/>
      <c r="AE288" s="1512"/>
      <c r="AF288" s="1512"/>
      <c r="AG288" s="1512"/>
      <c r="AH288" s="1512"/>
      <c r="AI288" s="1514"/>
      <c r="AJ288" s="1514"/>
      <c r="AY288" s="1790">
        <v>323</v>
      </c>
    </row>
    <row r="289" spans="1:51" s="1515" customFormat="1" ht="15.95" customHeight="1">
      <c r="A289" s="1534"/>
      <c r="B289" s="1550" t="s">
        <v>212</v>
      </c>
      <c r="C289" s="3190"/>
      <c r="D289" s="3191"/>
      <c r="E289" s="3192"/>
      <c r="F289" s="3190"/>
      <c r="G289" s="3191"/>
      <c r="H289" s="3191"/>
      <c r="I289" s="3191"/>
      <c r="J289" s="3191"/>
      <c r="K289" s="3191"/>
      <c r="L289" s="3191"/>
      <c r="M289" s="3191"/>
      <c r="N289" s="3191"/>
      <c r="O289" s="3191"/>
      <c r="P289" s="3191"/>
      <c r="Q289" s="3191"/>
      <c r="R289" s="3191"/>
      <c r="S289" s="3192"/>
      <c r="T289" s="3201"/>
      <c r="U289" s="3202"/>
      <c r="V289" s="3201"/>
      <c r="W289" s="3202"/>
      <c r="X289" s="3185"/>
      <c r="Y289" s="3185"/>
      <c r="Z289" s="1636"/>
      <c r="AA289" s="3186"/>
      <c r="AB289" s="3186"/>
      <c r="AC289" s="1544"/>
      <c r="AD289" s="1512"/>
      <c r="AE289" s="1512"/>
      <c r="AF289" s="1512"/>
      <c r="AG289" s="1512"/>
      <c r="AH289" s="1512"/>
      <c r="AI289" s="1514"/>
      <c r="AJ289" s="1514"/>
      <c r="AY289" s="1790">
        <v>324</v>
      </c>
    </row>
    <row r="290" spans="1:51" s="1515" customFormat="1" ht="15.95" customHeight="1">
      <c r="A290" s="1534"/>
      <c r="B290" s="1550" t="s">
        <v>252</v>
      </c>
      <c r="C290" s="3193"/>
      <c r="D290" s="3194"/>
      <c r="E290" s="3195"/>
      <c r="F290" s="3193"/>
      <c r="G290" s="3194"/>
      <c r="H290" s="3194"/>
      <c r="I290" s="3194"/>
      <c r="J290" s="3194"/>
      <c r="K290" s="3194"/>
      <c r="L290" s="3194"/>
      <c r="M290" s="3194"/>
      <c r="N290" s="3194"/>
      <c r="O290" s="3194"/>
      <c r="P290" s="3194"/>
      <c r="Q290" s="3194"/>
      <c r="R290" s="3194"/>
      <c r="S290" s="3195"/>
      <c r="T290" s="3198"/>
      <c r="U290" s="3199"/>
      <c r="V290" s="3198"/>
      <c r="W290" s="3199"/>
      <c r="X290" s="3300"/>
      <c r="Y290" s="3300"/>
      <c r="Z290" s="1636"/>
      <c r="AA290" s="3301"/>
      <c r="AB290" s="3301"/>
      <c r="AC290" s="1544"/>
      <c r="AD290" s="1512"/>
      <c r="AE290" s="1512"/>
      <c r="AF290" s="1512"/>
      <c r="AG290" s="1512"/>
      <c r="AH290" s="1512"/>
      <c r="AI290" s="1514"/>
      <c r="AJ290" s="1514"/>
      <c r="AY290" s="1790">
        <v>325</v>
      </c>
    </row>
    <row r="291" spans="1:51" ht="15.95" customHeight="1">
      <c r="A291" s="1515"/>
      <c r="B291" s="1533" t="s">
        <v>1792</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75" customHeight="1">
      <c r="A292" s="3123" t="s">
        <v>7733</v>
      </c>
      <c r="B292" s="3124"/>
      <c r="C292" s="3124"/>
      <c r="D292" s="3124"/>
      <c r="E292" s="3124"/>
      <c r="F292" s="3124"/>
      <c r="G292" s="3124"/>
      <c r="H292" s="3124"/>
      <c r="I292" s="3124"/>
      <c r="J292" s="3124"/>
      <c r="K292" s="3124"/>
      <c r="L292" s="3124"/>
      <c r="M292" s="3124"/>
      <c r="N292" s="3124"/>
      <c r="O292" s="3124"/>
      <c r="P292" s="3124"/>
      <c r="Q292" s="3124"/>
      <c r="R292" s="3124"/>
      <c r="S292" s="3124"/>
      <c r="T292" s="3124"/>
      <c r="U292" s="3124"/>
      <c r="V292" s="3124"/>
      <c r="W292" s="3124"/>
      <c r="X292" s="3124"/>
      <c r="Y292" s="3124"/>
      <c r="Z292" s="3124"/>
      <c r="AA292" s="3124"/>
      <c r="AB292" s="3125"/>
      <c r="AC292" s="1574"/>
      <c r="AY292" s="1791">
        <v>327</v>
      </c>
    </row>
    <row r="293" spans="1:51" ht="15.95" customHeight="1">
      <c r="A293" s="1515"/>
      <c r="B293" s="1562" t="s">
        <v>1452</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018"/>
      <c r="B294" s="3019"/>
      <c r="C294" s="3019"/>
      <c r="D294" s="3019"/>
      <c r="E294" s="3019"/>
      <c r="F294" s="3019"/>
      <c r="G294" s="3019"/>
      <c r="H294" s="3019"/>
      <c r="I294" s="3019"/>
      <c r="J294" s="3019"/>
      <c r="K294" s="3019"/>
      <c r="L294" s="3019"/>
      <c r="M294" s="3019"/>
      <c r="N294" s="3019"/>
      <c r="O294" s="3019"/>
      <c r="P294" s="3019"/>
      <c r="Q294" s="3019"/>
      <c r="R294" s="3019"/>
      <c r="S294" s="3019"/>
      <c r="T294" s="3019"/>
      <c r="U294" s="3019"/>
      <c r="V294" s="3019"/>
      <c r="W294" s="3019"/>
      <c r="X294" s="3019"/>
      <c r="Y294" s="3019"/>
      <c r="Z294" s="3019"/>
      <c r="AA294" s="3019"/>
      <c r="AB294" s="3020"/>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5.95" customHeight="1">
      <c r="A297" s="1534" t="s">
        <v>1565</v>
      </c>
      <c r="B297" s="1598" t="s">
        <v>1951</v>
      </c>
      <c r="Y297" s="1517">
        <v>1</v>
      </c>
      <c r="AA297" s="1543">
        <f>IF(AND($M$11="New Affordability",$C$16="9%"),IF(AA298+AA299&gt;$Y297,"Choose",MIN($Y297,SUM(AA298:AA299))),0)</f>
        <v>1</v>
      </c>
      <c r="AB297" s="1543">
        <f>IF(AND($M$12="New Affordability",$C$16="9%"),IF(AB298+AB299&gt;$Y297,"Choose",MIN($Y297,SUM(AB298:AB299))),0)</f>
        <v>0</v>
      </c>
      <c r="AC297" s="1544" t="s">
        <v>1744</v>
      </c>
      <c r="AD297" s="2554" t="str">
        <f>IF(AND(AA297&gt;0,NOT($M$11="New Affordability")), "Ineligible to score in this section, not New Affordability!","")</f>
        <v/>
      </c>
      <c r="AY297" s="1790">
        <v>332</v>
      </c>
    </row>
    <row r="298" spans="1:51" ht="15.95" customHeight="1">
      <c r="A298" s="1517" t="s">
        <v>185</v>
      </c>
      <c r="B298" s="1575" t="s">
        <v>1952</v>
      </c>
      <c r="H298" s="3373" t="s">
        <v>1953</v>
      </c>
      <c r="I298" s="3373"/>
      <c r="J298" s="3373"/>
      <c r="K298" s="3373"/>
      <c r="L298" s="3373"/>
      <c r="M298" s="3373"/>
      <c r="N298" s="3373"/>
      <c r="O298" s="3370">
        <f>IF('Part V-Revenues &amp; Expenses'!$P$76=0,0,'Part V-Revenues &amp; Expenses'!$P$73/'Part V-Revenues &amp; Expenses'!$P$76)</f>
        <v>0</v>
      </c>
      <c r="P298" s="3371"/>
      <c r="Q298" s="3371"/>
      <c r="R298" s="3371"/>
      <c r="S298" s="3372"/>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c r="AB298" s="2794"/>
      <c r="AC298" s="1549" t="str">
        <f>IF(OR($AA298=$Y298,$AA298=0,$AA298=""),"","*CHECK!*")</f>
        <v/>
      </c>
      <c r="AD298" s="2554"/>
      <c r="AY298" s="1790">
        <v>333</v>
      </c>
    </row>
    <row r="299" spans="1:51" ht="15.95" customHeight="1">
      <c r="A299" s="1517" t="s">
        <v>197</v>
      </c>
      <c r="B299" s="1575" t="s">
        <v>1833</v>
      </c>
      <c r="H299" s="3367" t="str">
        <f>'Part V-Revenues &amp; Expenses'!$O$62</f>
        <v>Income Averaging</v>
      </c>
      <c r="I299" s="3368"/>
      <c r="J299" s="3368"/>
      <c r="K299" s="3368"/>
      <c r="L299" s="3368"/>
      <c r="M299" s="3368"/>
      <c r="N299" s="3368"/>
      <c r="O299" s="3368"/>
      <c r="P299" s="3368"/>
      <c r="Q299" s="3368"/>
      <c r="R299" s="3368"/>
      <c r="S299" s="3369"/>
      <c r="T299" s="2457" t="str">
        <f>IF(AND($AA299&gt;0,OR($O$298&gt;=0.1,NOT($H$299="Income Averaging"))),"Not eligible for these points!","")</f>
        <v/>
      </c>
      <c r="U299" s="2449"/>
      <c r="V299" s="2449"/>
      <c r="W299" s="2449"/>
      <c r="X299" s="1546" t="str">
        <f t="shared" si="12"/>
        <v/>
      </c>
      <c r="Y299" s="1531">
        <v>1</v>
      </c>
      <c r="Z299" s="1547"/>
      <c r="AA299" s="1449">
        <v>1</v>
      </c>
      <c r="AB299" s="1608"/>
      <c r="AC299" s="1549" t="str">
        <f>IF(OR($AA299=$Y299,$AA299=0,$AA299=""),"","*CHECK!*")</f>
        <v/>
      </c>
      <c r="AD299" s="2554"/>
      <c r="AY299" s="1790">
        <v>334</v>
      </c>
    </row>
    <row r="300" spans="1:51" ht="15.95" customHeight="1">
      <c r="A300" s="1575"/>
      <c r="B300" s="1550"/>
      <c r="Y300" s="2557"/>
      <c r="AA300" s="1517"/>
      <c r="AB300" s="1517"/>
      <c r="AY300" s="1790">
        <v>335</v>
      </c>
    </row>
    <row r="301" spans="1:51" ht="15.95" customHeight="1">
      <c r="A301" s="1515"/>
      <c r="B301" s="1562" t="s">
        <v>1452</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018"/>
      <c r="B302" s="3019"/>
      <c r="C302" s="3019"/>
      <c r="D302" s="3019"/>
      <c r="E302" s="3019"/>
      <c r="F302" s="3019"/>
      <c r="G302" s="3019"/>
      <c r="H302" s="3019"/>
      <c r="I302" s="3019"/>
      <c r="J302" s="3019"/>
      <c r="K302" s="3019"/>
      <c r="L302" s="3019"/>
      <c r="M302" s="3019"/>
      <c r="N302" s="3019"/>
      <c r="O302" s="3019"/>
      <c r="P302" s="3019"/>
      <c r="Q302" s="3019"/>
      <c r="R302" s="3019"/>
      <c r="S302" s="3019"/>
      <c r="T302" s="3019"/>
      <c r="U302" s="3019"/>
      <c r="V302" s="3019"/>
      <c r="W302" s="3019"/>
      <c r="X302" s="3019"/>
      <c r="Y302" s="3019"/>
      <c r="Z302" s="3019"/>
      <c r="AA302" s="3019"/>
      <c r="AB302" s="3020"/>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5.95" customHeight="1">
      <c r="A305" s="1534" t="s">
        <v>1577</v>
      </c>
      <c r="B305" s="1535" t="s">
        <v>1954</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0</v>
      </c>
      <c r="AB305" s="1543">
        <f>IF(AND($M$12="New Affordability",$C$16="9%"),MIN($Y305,AB307+AB309),0)</f>
        <v>0</v>
      </c>
      <c r="AC305" s="1544" t="s">
        <v>1744</v>
      </c>
      <c r="AD305" s="2554" t="str">
        <f>IF(AND(AA305&gt;0,NOT($M$11="New Affordability")), "Ineligible to score in this section, not New Affordability!","")</f>
        <v/>
      </c>
      <c r="AY305" s="1790">
        <v>340</v>
      </c>
    </row>
    <row r="306" spans="1:51" s="1557" customFormat="1" ht="15.95" customHeight="1">
      <c r="A306" s="1598"/>
      <c r="B306" s="1657" t="s">
        <v>1955</v>
      </c>
      <c r="H306" s="3338" t="s">
        <v>1956</v>
      </c>
      <c r="I306" s="3339"/>
      <c r="J306" s="3339"/>
      <c r="K306" s="3339"/>
      <c r="L306" s="3339"/>
      <c r="M306" s="3339"/>
      <c r="N306" s="3339"/>
      <c r="O306" s="3339"/>
      <c r="P306" s="3339"/>
      <c r="Q306" s="3339"/>
      <c r="R306" s="3339"/>
      <c r="S306" s="3339"/>
      <c r="T306" s="3339"/>
      <c r="U306" s="3339"/>
      <c r="V306" s="3339"/>
      <c r="W306" s="3339"/>
      <c r="X306" s="3340"/>
      <c r="Y306" s="1558"/>
      <c r="Z306" s="1558"/>
      <c r="AA306" s="1558"/>
      <c r="AB306" s="1558"/>
      <c r="AC306" s="1515"/>
      <c r="AY306" s="1791">
        <v>341</v>
      </c>
    </row>
    <row r="307" spans="1:51" s="1557" customFormat="1" ht="15.95" customHeight="1">
      <c r="A307" s="1578" t="s">
        <v>185</v>
      </c>
      <c r="B307" s="1523" t="s">
        <v>1957</v>
      </c>
      <c r="X307" s="1546" t="str">
        <f t="shared" ref="X307" si="13">IF(OR($AA307=$Y307,$AA307=0,$AA307=""),"","* * Check Score! * *")</f>
        <v/>
      </c>
      <c r="Y307" s="1558">
        <v>2</v>
      </c>
      <c r="Z307" s="1559"/>
      <c r="AA307" s="2793"/>
      <c r="AB307" s="2794"/>
      <c r="AC307" s="1549" t="str">
        <f>IF(OR($AA307=$Y307,$AA307=0,$AA307=""),"","*CHECK!*")</f>
        <v/>
      </c>
      <c r="AD307" s="2554"/>
      <c r="AY307" s="1790">
        <v>342</v>
      </c>
    </row>
    <row r="308" spans="1:51" ht="15" customHeight="1">
      <c r="A308" s="1572"/>
      <c r="B308" s="3123" t="s">
        <v>1958</v>
      </c>
      <c r="C308" s="3124"/>
      <c r="D308" s="3124"/>
      <c r="E308" s="3124"/>
      <c r="F308" s="3124"/>
      <c r="G308" s="3124"/>
      <c r="H308" s="3124"/>
      <c r="I308" s="3124"/>
      <c r="J308" s="3124"/>
      <c r="K308" s="3124"/>
      <c r="L308" s="3124"/>
      <c r="M308" s="3124"/>
      <c r="N308" s="3124"/>
      <c r="O308" s="3124"/>
      <c r="P308" s="3124"/>
      <c r="Q308" s="3124"/>
      <c r="R308" s="3124"/>
      <c r="S308" s="3124"/>
      <c r="T308" s="3124"/>
      <c r="U308" s="3124"/>
      <c r="V308" s="3124"/>
      <c r="W308" s="3124"/>
      <c r="X308" s="3124"/>
      <c r="Y308" s="3124"/>
      <c r="Z308" s="3124"/>
      <c r="AA308" s="3124"/>
      <c r="AB308" s="3125"/>
      <c r="AC308" s="1567"/>
      <c r="AD308" s="1574"/>
      <c r="AE308" s="1574"/>
      <c r="AY308" s="1790">
        <v>343</v>
      </c>
    </row>
    <row r="309" spans="1:51" s="1557" customFormat="1" ht="15.95" customHeight="1">
      <c r="A309" s="1660" t="s">
        <v>197</v>
      </c>
      <c r="B309" s="1624" t="s">
        <v>1959</v>
      </c>
      <c r="X309" s="1546" t="str">
        <f t="shared" ref="X309" si="14">IF(OR($AA309=$Y309,$AA309=0,$AA309=""),"","* * Check Score! * *")</f>
        <v/>
      </c>
      <c r="Y309" s="1558">
        <v>2</v>
      </c>
      <c r="Z309" s="1559"/>
      <c r="AA309" s="1449"/>
      <c r="AB309" s="1608"/>
      <c r="AC309" s="1549" t="str">
        <f>IF(OR($AA309=$Y309,$AA309=0,$AA309=""),"","*CHECK!*")</f>
        <v/>
      </c>
      <c r="AD309" s="2554"/>
      <c r="AY309" s="1790">
        <v>344</v>
      </c>
    </row>
    <row r="310" spans="1:51" ht="15.95" customHeight="1">
      <c r="A310" s="1515"/>
      <c r="B310" s="1533" t="s">
        <v>1792</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5" customHeight="1">
      <c r="A311" s="3207" t="s">
        <v>670</v>
      </c>
      <c r="B311" s="3208"/>
      <c r="C311" s="3208"/>
      <c r="D311" s="3208"/>
      <c r="E311" s="3208"/>
      <c r="F311" s="3208"/>
      <c r="G311" s="3208"/>
      <c r="H311" s="3208"/>
      <c r="I311" s="3208"/>
      <c r="J311" s="3208"/>
      <c r="K311" s="3208"/>
      <c r="L311" s="3208"/>
      <c r="M311" s="3208"/>
      <c r="N311" s="3208"/>
      <c r="O311" s="3208"/>
      <c r="P311" s="3208"/>
      <c r="Q311" s="3208"/>
      <c r="R311" s="3208"/>
      <c r="S311" s="3208"/>
      <c r="T311" s="3208"/>
      <c r="U311" s="3208"/>
      <c r="V311" s="3208"/>
      <c r="W311" s="3208"/>
      <c r="X311" s="3208"/>
      <c r="Y311" s="3208"/>
      <c r="Z311" s="3208"/>
      <c r="AA311" s="3208"/>
      <c r="AB311" s="3209"/>
      <c r="AC311" s="1574"/>
      <c r="AD311" s="1574"/>
      <c r="AY311" s="1790">
        <v>346</v>
      </c>
    </row>
    <row r="312" spans="1:51" ht="15.95" customHeight="1">
      <c r="B312" s="1562" t="s">
        <v>1452</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018"/>
      <c r="B313" s="3019"/>
      <c r="C313" s="3019"/>
      <c r="D313" s="3019"/>
      <c r="E313" s="3019"/>
      <c r="F313" s="3019"/>
      <c r="G313" s="3019"/>
      <c r="H313" s="3019"/>
      <c r="I313" s="3019"/>
      <c r="J313" s="3019"/>
      <c r="K313" s="3019"/>
      <c r="L313" s="3019"/>
      <c r="M313" s="3019"/>
      <c r="N313" s="3019"/>
      <c r="O313" s="3019"/>
      <c r="P313" s="3019"/>
      <c r="Q313" s="3019"/>
      <c r="R313" s="3019"/>
      <c r="S313" s="3019"/>
      <c r="T313" s="3019"/>
      <c r="U313" s="3019"/>
      <c r="V313" s="3019"/>
      <c r="W313" s="3019"/>
      <c r="X313" s="3019"/>
      <c r="Y313" s="3019"/>
      <c r="Z313" s="3019"/>
      <c r="AA313" s="3019"/>
      <c r="AB313" s="3020"/>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5.95" customHeight="1">
      <c r="A316" s="1534" t="s">
        <v>1582</v>
      </c>
      <c r="B316" s="1535" t="s">
        <v>1960</v>
      </c>
      <c r="E316" s="1535"/>
      <c r="F316" s="1535"/>
      <c r="H316" s="1568"/>
      <c r="Y316" s="1517">
        <v>2</v>
      </c>
      <c r="Z316" s="2557"/>
      <c r="AA316" s="1543">
        <f>IF($C$16="9%",IF(OR(AA317=$Y317,AA318=$Y318),$Y$316,0),0)</f>
        <v>2</v>
      </c>
      <c r="AB316" s="1543">
        <f>IF($C$16="9%",IF(OR(AB317=$Y317,AB318=$Y318),$Y$316,0),0)</f>
        <v>0</v>
      </c>
      <c r="AC316" s="1544" t="s">
        <v>1744</v>
      </c>
      <c r="AD316" s="1512"/>
      <c r="AE316" s="1512"/>
      <c r="AF316" s="1512"/>
      <c r="AG316" s="1512"/>
      <c r="AH316" s="1512"/>
      <c r="AY316" s="1790">
        <v>351</v>
      </c>
    </row>
    <row r="317" spans="1:51" ht="15.95" customHeight="1">
      <c r="A317" s="1517" t="s">
        <v>185</v>
      </c>
      <c r="B317" s="3374" t="s">
        <v>1961</v>
      </c>
      <c r="C317" s="3374"/>
      <c r="D317" s="3374"/>
      <c r="E317" s="1515" t="s">
        <v>1962</v>
      </c>
      <c r="F317" s="1515"/>
      <c r="G317" s="1515"/>
      <c r="H317" s="1515"/>
      <c r="I317" s="1515"/>
      <c r="J317" s="1515"/>
      <c r="K317" s="1515"/>
      <c r="L317" s="1515"/>
      <c r="M317" s="1515"/>
      <c r="N317" s="1515"/>
      <c r="O317" s="1515"/>
      <c r="P317" s="1515"/>
      <c r="Q317" s="1515"/>
      <c r="R317" s="1515"/>
      <c r="S317" s="1515"/>
      <c r="T317" s="3375"/>
      <c r="U317" s="3376"/>
      <c r="V317" s="3376"/>
      <c r="W317" s="3376"/>
      <c r="X317" s="3377"/>
      <c r="Y317" s="1531">
        <v>2</v>
      </c>
      <c r="Z317" s="1547"/>
      <c r="AA317" s="2793"/>
      <c r="AB317" s="2794"/>
      <c r="AC317" s="1572" t="str">
        <f>IF(OR(AA317=0,AA317="",AA317=$Y317),"","Check!")</f>
        <v/>
      </c>
      <c r="AD317" s="1546" t="str">
        <f t="shared" ref="AD317:AD318" si="15">IF(OR($AA317=$Y317,$AA317=0,$AA317=""),"","* * Check Score! * *")</f>
        <v/>
      </c>
      <c r="AE317" s="1512"/>
      <c r="AF317" s="1512"/>
      <c r="AG317" s="1512"/>
      <c r="AH317" s="1512"/>
      <c r="AY317" s="1791">
        <v>352</v>
      </c>
    </row>
    <row r="318" spans="1:51" ht="15.95" customHeight="1">
      <c r="A318" s="1517" t="s">
        <v>197</v>
      </c>
      <c r="B318" s="3374" t="s">
        <v>1963</v>
      </c>
      <c r="C318" s="3374"/>
      <c r="D318" s="3374"/>
      <c r="E318" s="3221" t="s">
        <v>1964</v>
      </c>
      <c r="F318" s="3221"/>
      <c r="G318" s="3221"/>
      <c r="H318" s="3221"/>
      <c r="I318" s="3221"/>
      <c r="J318" s="3221"/>
      <c r="K318" s="3221"/>
      <c r="L318" s="3221"/>
      <c r="M318" s="3221"/>
      <c r="N318" s="3221"/>
      <c r="O318" s="3221"/>
      <c r="P318" s="3221"/>
      <c r="Q318" s="3221"/>
      <c r="R318" s="3221"/>
      <c r="S318" s="3221"/>
      <c r="T318" s="3375" t="s">
        <v>4692</v>
      </c>
      <c r="U318" s="3376"/>
      <c r="V318" s="3376"/>
      <c r="W318" s="3376"/>
      <c r="X318" s="3377"/>
      <c r="Y318" s="1531">
        <v>2</v>
      </c>
      <c r="Z318" s="1547"/>
      <c r="AA318" s="1449">
        <v>2</v>
      </c>
      <c r="AB318" s="1608"/>
      <c r="AC318" s="1572" t="str">
        <f>IF(OR(AA318=0,AA318="",AA318=$Y318),"","Check!")</f>
        <v/>
      </c>
      <c r="AD318" s="1546" t="str">
        <f t="shared" si="15"/>
        <v/>
      </c>
      <c r="AE318" s="1512"/>
      <c r="AF318" s="1512"/>
      <c r="AG318" s="1512"/>
      <c r="AH318" s="1512"/>
      <c r="AY318" s="1791">
        <v>353</v>
      </c>
    </row>
    <row r="319" spans="1:51" ht="15.95" customHeight="1">
      <c r="A319" s="1515"/>
      <c r="B319" s="1533" t="s">
        <v>1792</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207" t="s">
        <v>7734</v>
      </c>
      <c r="B320" s="3208"/>
      <c r="C320" s="3208"/>
      <c r="D320" s="3208"/>
      <c r="E320" s="3208"/>
      <c r="F320" s="3208"/>
      <c r="G320" s="3208"/>
      <c r="H320" s="3208"/>
      <c r="I320" s="3208"/>
      <c r="J320" s="3208"/>
      <c r="K320" s="3208"/>
      <c r="L320" s="3208"/>
      <c r="M320" s="3208"/>
      <c r="N320" s="3208"/>
      <c r="O320" s="3208"/>
      <c r="P320" s="3208"/>
      <c r="Q320" s="3208"/>
      <c r="R320" s="3208"/>
      <c r="S320" s="3208"/>
      <c r="T320" s="3208"/>
      <c r="U320" s="3208"/>
      <c r="V320" s="3208"/>
      <c r="W320" s="3208"/>
      <c r="X320" s="3208"/>
      <c r="Y320" s="3208"/>
      <c r="Z320" s="3208"/>
      <c r="AA320" s="3208"/>
      <c r="AB320" s="3209"/>
      <c r="AC320" s="1574"/>
      <c r="AY320" s="1791">
        <v>355</v>
      </c>
    </row>
    <row r="321" spans="1:51" ht="15.95" customHeight="1">
      <c r="A321" s="1515"/>
      <c r="B321" s="1562" t="s">
        <v>1452</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018"/>
      <c r="B322" s="3019"/>
      <c r="C322" s="3019"/>
      <c r="D322" s="3019"/>
      <c r="E322" s="3019"/>
      <c r="F322" s="3019"/>
      <c r="G322" s="3019"/>
      <c r="H322" s="3019"/>
      <c r="I322" s="3019"/>
      <c r="J322" s="3019"/>
      <c r="K322" s="3019"/>
      <c r="L322" s="3019"/>
      <c r="M322" s="3019"/>
      <c r="N322" s="3019"/>
      <c r="O322" s="3019"/>
      <c r="P322" s="3019"/>
      <c r="Q322" s="3019"/>
      <c r="R322" s="3019"/>
      <c r="S322" s="3019"/>
      <c r="T322" s="3019"/>
      <c r="U322" s="3019"/>
      <c r="V322" s="3019"/>
      <c r="W322" s="3019"/>
      <c r="X322" s="3019"/>
      <c r="Y322" s="3019"/>
      <c r="Z322" s="3019"/>
      <c r="AA322" s="3019"/>
      <c r="AB322" s="3020"/>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5.95" customHeight="1" thickBot="1">
      <c r="A325" s="1598" t="s">
        <v>1587</v>
      </c>
      <c r="B325" s="1535" t="s">
        <v>1965</v>
      </c>
      <c r="E325" s="1575"/>
      <c r="F325" s="1575"/>
      <c r="H325" s="1515"/>
      <c r="X325" s="1615" t="str">
        <f>IF(AND(AA325&gt;0,NOT($C$16="9%")),"Ineligible, not 9%!","")</f>
        <v/>
      </c>
      <c r="Y325" s="1517">
        <v>2.5</v>
      </c>
      <c r="Z325" s="1546"/>
      <c r="AA325" s="1664">
        <f>MAX(AA326:AA327)</f>
        <v>0</v>
      </c>
      <c r="AB325" s="1664">
        <f>MAX(AB326:AB327)</f>
        <v>0</v>
      </c>
      <c r="AC325" s="1544" t="s">
        <v>1744</v>
      </c>
      <c r="AD325" s="1663"/>
      <c r="AE325" s="1663"/>
      <c r="AY325" s="1790">
        <v>360</v>
      </c>
    </row>
    <row r="326" spans="1:51" ht="15.95" customHeight="1">
      <c r="A326" s="1530" t="s">
        <v>185</v>
      </c>
      <c r="B326" s="2571" t="s">
        <v>1966</v>
      </c>
      <c r="E326" s="1575"/>
      <c r="F326" s="1575"/>
      <c r="H326" s="1515"/>
      <c r="J326" s="3210" t="s">
        <v>1967</v>
      </c>
      <c r="K326" s="3211"/>
      <c r="L326" s="3211"/>
      <c r="M326" s="3211"/>
      <c r="N326" s="3211"/>
      <c r="O326" s="3211"/>
      <c r="P326" s="3211"/>
      <c r="Q326" s="3211"/>
      <c r="R326" s="3211"/>
      <c r="S326" s="3211"/>
      <c r="T326" s="3211"/>
      <c r="U326" s="3211"/>
      <c r="V326" s="3211"/>
      <c r="W326" s="3211"/>
      <c r="X326" s="3212"/>
      <c r="Y326" s="2557">
        <v>2</v>
      </c>
      <c r="Z326" s="2557"/>
      <c r="AA326" s="2793"/>
      <c r="AB326" s="2794"/>
      <c r="AC326" s="1549"/>
      <c r="AD326" s="1663"/>
      <c r="AE326" s="1663"/>
      <c r="AY326" s="1790">
        <v>361</v>
      </c>
    </row>
    <row r="327" spans="1:51" ht="15.95" customHeight="1">
      <c r="A327" s="1530" t="s">
        <v>197</v>
      </c>
      <c r="B327" s="2571" t="s">
        <v>1968</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c r="AB327" s="1623"/>
      <c r="AY327" s="1790">
        <v>362</v>
      </c>
    </row>
    <row r="328" spans="1:51" s="1515" customFormat="1" ht="15.95" customHeight="1">
      <c r="B328" s="1533" t="s">
        <v>1792</v>
      </c>
      <c r="X328" s="1514"/>
      <c r="Y328" s="2557"/>
      <c r="Z328" s="1531"/>
      <c r="AA328" s="1525"/>
      <c r="AB328" s="1524"/>
      <c r="AY328" s="1790">
        <v>363</v>
      </c>
    </row>
    <row r="329" spans="1:51" ht="30" customHeight="1">
      <c r="A329" s="3207" t="s">
        <v>670</v>
      </c>
      <c r="B329" s="3208"/>
      <c r="C329" s="3208"/>
      <c r="D329" s="3208"/>
      <c r="E329" s="3208"/>
      <c r="F329" s="3208"/>
      <c r="G329" s="3208"/>
      <c r="H329" s="3208"/>
      <c r="I329" s="3208"/>
      <c r="J329" s="3208"/>
      <c r="K329" s="3208"/>
      <c r="L329" s="3208"/>
      <c r="M329" s="3208"/>
      <c r="N329" s="3208"/>
      <c r="O329" s="3208"/>
      <c r="P329" s="3208"/>
      <c r="Q329" s="3208"/>
      <c r="R329" s="3208"/>
      <c r="S329" s="3208"/>
      <c r="T329" s="3208"/>
      <c r="U329" s="3208"/>
      <c r="V329" s="3208"/>
      <c r="W329" s="3208"/>
      <c r="X329" s="3208"/>
      <c r="Y329" s="3208"/>
      <c r="Z329" s="3208"/>
      <c r="AA329" s="3208"/>
      <c r="AB329" s="3209"/>
      <c r="AC329" s="1574"/>
      <c r="AY329" s="1791">
        <v>364</v>
      </c>
    </row>
    <row r="330" spans="1:51" s="1515" customFormat="1" ht="15.95" customHeight="1">
      <c r="B330" s="1596" t="s">
        <v>1452</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018"/>
      <c r="B331" s="3019"/>
      <c r="C331" s="3019"/>
      <c r="D331" s="3019"/>
      <c r="E331" s="3019"/>
      <c r="F331" s="3019"/>
      <c r="G331" s="3019"/>
      <c r="H331" s="3019"/>
      <c r="I331" s="3019"/>
      <c r="J331" s="3019"/>
      <c r="K331" s="3019"/>
      <c r="L331" s="3019"/>
      <c r="M331" s="3019"/>
      <c r="N331" s="3019"/>
      <c r="O331" s="3019"/>
      <c r="P331" s="3019"/>
      <c r="Q331" s="3019"/>
      <c r="R331" s="3019"/>
      <c r="S331" s="3019"/>
      <c r="T331" s="3019"/>
      <c r="U331" s="3019"/>
      <c r="V331" s="3019"/>
      <c r="W331" s="3019"/>
      <c r="X331" s="3019"/>
      <c r="Y331" s="3019"/>
      <c r="Z331" s="3019"/>
      <c r="AA331" s="3019"/>
      <c r="AB331" s="3020"/>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5.95" customHeight="1">
      <c r="A334" s="1598" t="s">
        <v>1593</v>
      </c>
      <c r="B334" s="1535" t="s">
        <v>1969</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1744</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5.95" customHeight="1">
      <c r="A336" s="1517" t="s">
        <v>185</v>
      </c>
      <c r="B336" s="1523" t="s">
        <v>1970</v>
      </c>
      <c r="E336" s="1535"/>
      <c r="F336" s="1535"/>
      <c r="X336" s="1588" t="s">
        <v>1743</v>
      </c>
      <c r="Y336" s="1517">
        <v>6</v>
      </c>
      <c r="Z336" s="2557"/>
      <c r="AA336" s="2795"/>
      <c r="AB336" s="2789"/>
      <c r="AC336" s="1544"/>
      <c r="AD336" s="2554"/>
      <c r="AY336" s="1790">
        <v>371</v>
      </c>
    </row>
    <row r="337" spans="1:51" s="1515" customFormat="1" ht="15.95" customHeight="1">
      <c r="A337" s="2555" t="s">
        <v>197</v>
      </c>
      <c r="B337" s="1523" t="s">
        <v>1971</v>
      </c>
      <c r="E337" s="1535"/>
      <c r="F337" s="1535"/>
      <c r="H337" s="3213" t="s">
        <v>1972</v>
      </c>
      <c r="I337" s="3213"/>
      <c r="J337" s="3213"/>
      <c r="K337" s="3213"/>
      <c r="L337" s="3213"/>
      <c r="M337" s="3213"/>
      <c r="N337" s="3213"/>
      <c r="O337" s="3213"/>
      <c r="P337" s="3213"/>
      <c r="Q337" s="3213"/>
      <c r="R337" s="3213"/>
      <c r="S337" s="3213"/>
      <c r="T337" s="3213"/>
      <c r="U337" s="2570"/>
      <c r="V337" s="2570"/>
      <c r="W337" s="2570"/>
      <c r="X337" s="1588" t="s">
        <v>1743</v>
      </c>
      <c r="Y337" s="1517">
        <v>6</v>
      </c>
      <c r="Z337" s="2557"/>
      <c r="AA337" s="2557"/>
      <c r="AB337" s="2794"/>
      <c r="AC337" s="1544"/>
      <c r="AD337" s="2554"/>
      <c r="AY337" s="1791">
        <v>372</v>
      </c>
    </row>
    <row r="338" spans="1:51" s="1515" customFormat="1" ht="15.95" customHeight="1">
      <c r="A338" s="1598"/>
      <c r="B338" s="3221" t="s">
        <v>1973</v>
      </c>
      <c r="C338" s="3221"/>
      <c r="D338" s="3221"/>
      <c r="E338" s="3221"/>
      <c r="F338" s="3221"/>
      <c r="G338" s="1528"/>
      <c r="H338" s="3213"/>
      <c r="I338" s="3213"/>
      <c r="J338" s="3213"/>
      <c r="K338" s="3213"/>
      <c r="L338" s="3213"/>
      <c r="M338" s="3213"/>
      <c r="N338" s="3213"/>
      <c r="O338" s="3213"/>
      <c r="P338" s="3213"/>
      <c r="Q338" s="3213"/>
      <c r="R338" s="3213"/>
      <c r="S338" s="3213"/>
      <c r="T338" s="3213"/>
      <c r="U338" s="2570"/>
      <c r="V338" s="2570"/>
      <c r="W338" s="2570"/>
      <c r="X338" s="1549"/>
      <c r="Y338" s="1517"/>
      <c r="Z338" s="2557"/>
      <c r="AA338" s="2800"/>
      <c r="AB338" s="1553"/>
      <c r="AC338" s="1544"/>
      <c r="AD338" s="2554"/>
      <c r="AY338" s="1791">
        <v>373</v>
      </c>
    </row>
    <row r="339" spans="1:51" s="1557" customFormat="1" ht="15" customHeight="1">
      <c r="A339" s="1517" t="s">
        <v>218</v>
      </c>
      <c r="B339" s="1624" t="s">
        <v>1974</v>
      </c>
      <c r="C339" s="1620"/>
      <c r="D339" s="1620"/>
      <c r="E339" s="1620"/>
      <c r="F339" s="1620"/>
      <c r="H339" s="3215" t="s">
        <v>1975</v>
      </c>
      <c r="I339" s="3216"/>
      <c r="J339" s="3216"/>
      <c r="K339" s="3216"/>
      <c r="L339" s="3216"/>
      <c r="M339" s="3216"/>
      <c r="N339" s="3216"/>
      <c r="O339" s="3216"/>
      <c r="P339" s="3216"/>
      <c r="Q339" s="3216"/>
      <c r="R339" s="3216"/>
      <c r="S339" s="3216"/>
      <c r="T339" s="3217"/>
      <c r="U339" s="3214" t="str">
        <f>IF(AND(AA339&gt;0, AA340&gt;0), "Choose EITHER C OR D, but not both!","")</f>
        <v/>
      </c>
      <c r="V339" s="3214"/>
      <c r="W339" s="3214"/>
      <c r="X339" s="1588" t="s">
        <v>1743</v>
      </c>
      <c r="Y339" s="1517">
        <v>4</v>
      </c>
      <c r="Z339" s="1604"/>
      <c r="AA339" s="2795"/>
      <c r="AB339" s="2789"/>
      <c r="AC339" s="1549"/>
      <c r="AD339" s="2554"/>
      <c r="AY339" s="1791">
        <v>374</v>
      </c>
    </row>
    <row r="340" spans="1:51" ht="15.95" customHeight="1">
      <c r="A340" s="1517" t="s">
        <v>220</v>
      </c>
      <c r="B340" s="3229" t="s">
        <v>1976</v>
      </c>
      <c r="C340" s="3229"/>
      <c r="D340" s="3229"/>
      <c r="E340" s="3229"/>
      <c r="F340" s="1575"/>
      <c r="H340" s="3218"/>
      <c r="I340" s="3219"/>
      <c r="J340" s="3219"/>
      <c r="K340" s="3219"/>
      <c r="L340" s="3219"/>
      <c r="M340" s="3219"/>
      <c r="N340" s="3219"/>
      <c r="O340" s="3219"/>
      <c r="P340" s="3219"/>
      <c r="Q340" s="3219"/>
      <c r="R340" s="3219"/>
      <c r="S340" s="3219"/>
      <c r="T340" s="3220"/>
      <c r="U340" s="3214"/>
      <c r="V340" s="3214"/>
      <c r="W340" s="3214"/>
      <c r="X340" s="1588" t="s">
        <v>1743</v>
      </c>
      <c r="Y340" s="1517">
        <v>4</v>
      </c>
      <c r="Z340" s="1604"/>
      <c r="AA340" s="2795"/>
      <c r="AB340" s="2789"/>
      <c r="AC340" s="1549"/>
      <c r="AD340" s="2554"/>
      <c r="AY340" s="1791">
        <v>375</v>
      </c>
    </row>
    <row r="341" spans="1:51" s="1515" customFormat="1" ht="15.95" customHeight="1">
      <c r="A341" s="1517" t="s">
        <v>227</v>
      </c>
      <c r="B341" s="3229" t="s">
        <v>1977</v>
      </c>
      <c r="C341" s="3229"/>
      <c r="D341" s="3229"/>
      <c r="E341" s="3229"/>
      <c r="H341" s="1605" t="s">
        <v>1978</v>
      </c>
      <c r="K341" s="1605"/>
      <c r="L341" s="1605"/>
      <c r="M341" s="1605"/>
      <c r="N341" s="1605"/>
      <c r="O341" s="1605"/>
      <c r="P341" s="1605"/>
      <c r="Q341" s="1605"/>
      <c r="R341" s="1605"/>
      <c r="S341" s="1605"/>
      <c r="U341" s="1311" t="str">
        <f>IF(AND($AA341&gt;0,NOT($M$11="Preservation")),"Ineligible, not Preservation!","")</f>
        <v/>
      </c>
      <c r="V341" s="1311"/>
      <c r="W341" s="1311"/>
      <c r="X341" s="1588" t="s">
        <v>1743</v>
      </c>
      <c r="Y341" s="1517">
        <v>20</v>
      </c>
      <c r="Z341" s="2557"/>
      <c r="AA341" s="2779">
        <f>IF($M$11="Preservation",MIN($Y341,(U343+U344+U345+U346)),0)</f>
        <v>0</v>
      </c>
      <c r="AB341" s="2779">
        <f>IF($M$11="Preservation",MIN($Y341,(X343+X344+X345+X346)),0)</f>
        <v>0</v>
      </c>
      <c r="AC341" s="1544"/>
      <c r="AD341" s="2554"/>
      <c r="AY341" s="1790">
        <v>376</v>
      </c>
    </row>
    <row r="342" spans="1:51" s="1515" customFormat="1" ht="15.95" customHeight="1">
      <c r="A342" s="1517"/>
      <c r="B342" s="1523"/>
      <c r="E342" s="3227" t="s">
        <v>1979</v>
      </c>
      <c r="F342" s="3228"/>
      <c r="G342" s="3228"/>
      <c r="H342" s="3228"/>
      <c r="I342" s="3228"/>
      <c r="J342" s="3228"/>
      <c r="K342" s="3228"/>
      <c r="L342" s="3228"/>
      <c r="M342" s="3228"/>
      <c r="N342" s="3228"/>
      <c r="O342" s="3228"/>
      <c r="P342" s="3228"/>
      <c r="Q342" s="3228"/>
      <c r="R342" s="3228"/>
      <c r="S342" s="3228"/>
      <c r="T342" s="3228"/>
      <c r="U342" s="3307" t="s">
        <v>1730</v>
      </c>
      <c r="V342" s="3307"/>
      <c r="W342" s="2440"/>
      <c r="X342" s="2441" t="s">
        <v>1724</v>
      </c>
      <c r="AD342" s="1544"/>
      <c r="AE342" s="1544"/>
      <c r="AF342" s="1544"/>
      <c r="AG342" s="1544"/>
      <c r="AH342" s="1544"/>
      <c r="AI342" s="1544"/>
      <c r="AJ342" s="1544"/>
      <c r="AK342" s="1544"/>
      <c r="AL342" s="1544"/>
      <c r="AM342" s="1544"/>
      <c r="AY342" s="1791">
        <v>377</v>
      </c>
    </row>
    <row r="343" spans="1:51" s="1515" customFormat="1" ht="15.95" customHeight="1">
      <c r="A343" s="1517"/>
      <c r="B343" s="1523"/>
      <c r="E343" s="2432" t="s">
        <v>1980</v>
      </c>
      <c r="F343" s="1636"/>
      <c r="G343" s="1636"/>
      <c r="H343" s="1636"/>
      <c r="I343" s="1636"/>
      <c r="U343" s="3306">
        <f>MAX(AA136,AA137-AA138)</f>
        <v>20</v>
      </c>
      <c r="V343" s="3306"/>
      <c r="W343" s="2564"/>
      <c r="X343" s="2433">
        <f>MAX(AB136,AB137-AB138)</f>
        <v>0</v>
      </c>
      <c r="AD343" s="1544"/>
      <c r="AE343" s="1544"/>
      <c r="AF343" s="1544"/>
      <c r="AG343" s="1544"/>
      <c r="AH343" s="1544"/>
      <c r="AI343" s="1544"/>
      <c r="AJ343" s="1544"/>
      <c r="AK343" s="1544"/>
      <c r="AL343" s="1544"/>
      <c r="AM343" s="1544"/>
      <c r="AY343" s="1790">
        <v>378</v>
      </c>
    </row>
    <row r="344" spans="1:51" s="1515" customFormat="1" ht="15.95" customHeight="1">
      <c r="A344" s="1517"/>
      <c r="B344" s="1523"/>
      <c r="E344" s="2432" t="s">
        <v>1981</v>
      </c>
      <c r="F344" s="1636"/>
      <c r="G344" s="1636"/>
      <c r="H344" s="1636"/>
      <c r="I344" s="1636"/>
      <c r="U344" s="3230">
        <f>MAX(AA145,AA154+AA155+AA157+AA158+AA159)</f>
        <v>3</v>
      </c>
      <c r="V344" s="3230"/>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5.95" customHeight="1">
      <c r="A345" s="1517"/>
      <c r="B345" s="1523"/>
      <c r="E345" s="2432" t="s">
        <v>1982</v>
      </c>
      <c r="F345" s="1636"/>
      <c r="G345" s="1636"/>
      <c r="H345" s="1636"/>
      <c r="I345" s="1636"/>
      <c r="U345" s="3226">
        <f>$AA$166</f>
        <v>1.5</v>
      </c>
      <c r="V345" s="3226"/>
      <c r="W345" s="2564"/>
      <c r="X345" s="2468">
        <f>$AB$166</f>
        <v>0</v>
      </c>
      <c r="AD345" s="1544"/>
      <c r="AE345" s="1544"/>
      <c r="AF345" s="1544"/>
      <c r="AG345" s="1544"/>
      <c r="AH345" s="1544"/>
      <c r="AI345" s="1544"/>
      <c r="AJ345" s="1544"/>
      <c r="AK345" s="1544"/>
      <c r="AL345" s="1544"/>
      <c r="AM345" s="1544"/>
      <c r="AY345" s="1790">
        <v>380</v>
      </c>
    </row>
    <row r="346" spans="1:51" s="1515" customFormat="1" ht="15.95" customHeight="1">
      <c r="A346" s="1517"/>
      <c r="B346" s="1523"/>
      <c r="E346" s="2434" t="s">
        <v>1983</v>
      </c>
      <c r="F346" s="1614"/>
      <c r="G346" s="1614"/>
      <c r="L346" s="1612"/>
      <c r="M346" s="1612"/>
      <c r="N346" s="1612"/>
      <c r="O346" s="1612"/>
      <c r="P346" s="1612"/>
      <c r="Q346" s="1612"/>
      <c r="R346" s="1612"/>
      <c r="S346" s="1612"/>
      <c r="T346" s="1612" t="s">
        <v>1984</v>
      </c>
      <c r="U346" s="3277">
        <f>MAX(U347:V350)</f>
        <v>10</v>
      </c>
      <c r="V346" s="3278"/>
      <c r="W346" s="2564"/>
      <c r="X346" s="2442">
        <f>MAX(X347:X350)</f>
        <v>0</v>
      </c>
      <c r="AD346" s="1544"/>
      <c r="AE346" s="1544"/>
      <c r="AF346" s="1544"/>
      <c r="AG346" s="1544"/>
      <c r="AH346" s="1544"/>
      <c r="AI346" s="1544"/>
      <c r="AJ346" s="1544"/>
      <c r="AK346" s="1544"/>
      <c r="AL346" s="1544"/>
      <c r="AM346" s="1544"/>
      <c r="AY346" s="1790">
        <v>381</v>
      </c>
    </row>
    <row r="347" spans="1:51" s="1515" customFormat="1" ht="15.95" customHeight="1">
      <c r="A347" s="1517"/>
      <c r="B347" s="1523"/>
      <c r="E347" s="3365" t="s">
        <v>1924</v>
      </c>
      <c r="F347" s="3224"/>
      <c r="G347" s="3224"/>
      <c r="H347" s="3224"/>
      <c r="I347" s="3224"/>
      <c r="J347" s="3224"/>
      <c r="K347" s="3224"/>
      <c r="L347" s="3224"/>
      <c r="M347" s="3224"/>
      <c r="N347" s="3224"/>
      <c r="O347" s="3224"/>
      <c r="U347" s="3279">
        <f>AA183</f>
        <v>0</v>
      </c>
      <c r="V347" s="3279"/>
      <c r="W347" s="2564"/>
      <c r="X347" s="2433">
        <f>AB183</f>
        <v>0</v>
      </c>
      <c r="AD347" s="1544"/>
      <c r="AE347" s="1544"/>
      <c r="AF347" s="1544"/>
      <c r="AG347" s="1544"/>
      <c r="AH347" s="1544"/>
      <c r="AI347" s="1544"/>
      <c r="AJ347" s="1544"/>
      <c r="AK347" s="1544"/>
      <c r="AL347" s="1544"/>
      <c r="AM347" s="1544"/>
      <c r="AY347" s="1791">
        <v>382</v>
      </c>
    </row>
    <row r="348" spans="1:51" s="1515" customFormat="1" ht="15.95" customHeight="1">
      <c r="A348" s="1517"/>
      <c r="B348" s="1523"/>
      <c r="E348" s="2432" t="s">
        <v>1925</v>
      </c>
      <c r="F348" s="1636"/>
      <c r="G348" s="1636"/>
      <c r="H348" s="1636"/>
      <c r="U348" s="3230">
        <f>MAX($V$219,$AA$215)</f>
        <v>6</v>
      </c>
      <c r="V348" s="3230"/>
      <c r="W348" s="2564"/>
      <c r="X348" s="2433">
        <f>MAX($X$219,$AB$215)</f>
        <v>0</v>
      </c>
      <c r="AD348" s="1544"/>
      <c r="AE348" s="1544"/>
      <c r="AF348" s="1544"/>
      <c r="AG348" s="1544"/>
      <c r="AH348" s="1544"/>
      <c r="AI348" s="1544"/>
      <c r="AJ348" s="1544"/>
      <c r="AK348" s="1544"/>
      <c r="AL348" s="1544"/>
      <c r="AM348" s="1544"/>
      <c r="AY348" s="1791">
        <v>383</v>
      </c>
    </row>
    <row r="349" spans="1:51" s="1515" customFormat="1" ht="15.95" customHeight="1">
      <c r="A349" s="1517"/>
      <c r="B349" s="1523"/>
      <c r="E349" s="2432" t="s">
        <v>1985</v>
      </c>
      <c r="F349" s="1636"/>
      <c r="G349" s="1636"/>
      <c r="H349" s="1636"/>
      <c r="I349" s="1636"/>
      <c r="U349" s="3230">
        <f>IF(OR(AA248="Yes",AA249="Yes"),AA247,0)</f>
        <v>0</v>
      </c>
      <c r="V349" s="3230"/>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5.95" customHeight="1">
      <c r="A350" s="1517"/>
      <c r="B350" s="1523"/>
      <c r="E350" s="2436" t="s">
        <v>1986</v>
      </c>
      <c r="F350" s="2437"/>
      <c r="G350" s="2437"/>
      <c r="H350" s="2437"/>
      <c r="I350" s="2437"/>
      <c r="J350" s="2438"/>
      <c r="K350" s="2438"/>
      <c r="L350" s="2438"/>
      <c r="M350" s="2438"/>
      <c r="N350" s="2438"/>
      <c r="O350" s="2438"/>
      <c r="P350" s="2438"/>
      <c r="Q350" s="2438"/>
      <c r="R350" s="2438"/>
      <c r="S350" s="2438"/>
      <c r="T350" s="2439"/>
      <c r="U350" s="3226">
        <f>IF('Part I-Project Identification'!F12 ="9% Credits", AA233, 0)</f>
        <v>10</v>
      </c>
      <c r="V350" s="3226"/>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5.95" customHeight="1">
      <c r="A351" s="1517" t="s">
        <v>229</v>
      </c>
      <c r="B351" s="1523" t="s">
        <v>1987</v>
      </c>
      <c r="E351" s="1535"/>
      <c r="H351" s="1545"/>
      <c r="T351" s="2459" t="str">
        <f>IF(OR($AA351&lt;=$Y351,$AA351=0,$AA351=""),"","*CHECK!*")</f>
        <v/>
      </c>
      <c r="U351" s="1549"/>
      <c r="V351" s="1549"/>
      <c r="W351" s="1549"/>
      <c r="X351" s="1547" t="s">
        <v>1743</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1744</v>
      </c>
      <c r="AD351" s="2554"/>
      <c r="AY351" s="1791">
        <v>385</v>
      </c>
    </row>
    <row r="352" spans="1:51" s="1515" customFormat="1" ht="15.95" customHeight="1">
      <c r="A352" s="1517"/>
      <c r="B352" s="1639" t="s">
        <v>200</v>
      </c>
      <c r="C352" s="2562" t="s">
        <v>1988</v>
      </c>
      <c r="D352" s="2562"/>
      <c r="H352" s="3224" t="s">
        <v>1989</v>
      </c>
      <c r="I352" s="3224"/>
      <c r="J352" s="3224"/>
      <c r="K352" s="3224"/>
      <c r="L352" s="3224"/>
      <c r="M352" s="3224"/>
      <c r="N352" s="3224"/>
      <c r="O352" s="3224"/>
      <c r="P352" s="3224"/>
      <c r="Q352" s="3224"/>
      <c r="R352" s="3224"/>
      <c r="S352" s="3224"/>
      <c r="T352" s="3225"/>
      <c r="U352" s="3222"/>
      <c r="V352" s="3222"/>
      <c r="W352" s="2458"/>
      <c r="Y352" s="1588" t="s">
        <v>1743</v>
      </c>
      <c r="Z352" s="1591">
        <v>3</v>
      </c>
      <c r="AA352" s="2793"/>
      <c r="AB352" s="2794"/>
      <c r="AC352" s="2554"/>
      <c r="AH352" s="1541"/>
      <c r="AY352" s="1790">
        <v>386</v>
      </c>
    </row>
    <row r="353" spans="1:51" s="1515" customFormat="1" ht="15" customHeight="1">
      <c r="A353" s="1517"/>
      <c r="B353" s="1550" t="s">
        <v>208</v>
      </c>
      <c r="C353" s="1557" t="s">
        <v>1990</v>
      </c>
      <c r="D353" s="1557"/>
      <c r="E353" s="1557"/>
      <c r="F353" s="1557"/>
      <c r="H353" s="3224" t="s">
        <v>1991</v>
      </c>
      <c r="I353" s="3224"/>
      <c r="J353" s="3224"/>
      <c r="K353" s="3224"/>
      <c r="L353" s="3224"/>
      <c r="M353" s="3224"/>
      <c r="N353" s="3224"/>
      <c r="O353" s="3224"/>
      <c r="P353" s="3224"/>
      <c r="Q353" s="3224"/>
      <c r="R353" s="3224"/>
      <c r="S353" s="3224"/>
      <c r="T353" s="3225"/>
      <c r="U353" s="3223"/>
      <c r="V353" s="3223"/>
      <c r="W353" s="2422"/>
      <c r="Y353" s="1588" t="s">
        <v>1743</v>
      </c>
      <c r="Z353" s="1591">
        <v>3</v>
      </c>
      <c r="AA353" s="1448"/>
      <c r="AB353" s="1609"/>
      <c r="AC353" s="1547"/>
      <c r="AH353" s="1541"/>
      <c r="AY353" s="1791">
        <v>387</v>
      </c>
    </row>
    <row r="354" spans="1:51" ht="15.95" customHeight="1">
      <c r="B354" s="1550" t="s">
        <v>212</v>
      </c>
      <c r="C354" s="1515" t="s">
        <v>1992</v>
      </c>
      <c r="D354" s="1515"/>
      <c r="H354" s="1605" t="s">
        <v>1993</v>
      </c>
      <c r="T354" s="2460" t="str">
        <f>IF(OR($AA354="",AND($AA354&gt;=0,$AA354&lt;=$Z354,$C$16="4%"),$C$16="4%"),"","Ineligible!")</f>
        <v/>
      </c>
      <c r="U354" s="1665"/>
      <c r="V354" s="1665"/>
      <c r="W354" s="1665"/>
      <c r="Y354" s="1588" t="s">
        <v>1743</v>
      </c>
      <c r="Z354" s="1591">
        <v>10</v>
      </c>
      <c r="AA354" s="1481"/>
      <c r="AB354" s="1666"/>
      <c r="AC354" s="1549" t="str">
        <f>IF(OR($AA354&lt;=$Z354,$AA354=0,$AA354=""),"","*CHECK!*")</f>
        <v/>
      </c>
      <c r="AD354" s="2554"/>
      <c r="AY354" s="1790">
        <v>388</v>
      </c>
    </row>
    <row r="355" spans="1:51" ht="15.95" customHeight="1">
      <c r="A355" s="1517"/>
      <c r="B355" s="1514" t="s">
        <v>1994</v>
      </c>
      <c r="D355" s="1514" t="s">
        <v>1995</v>
      </c>
      <c r="F355" s="1515"/>
      <c r="G355" s="1515"/>
      <c r="H355" s="1515" t="s">
        <v>235</v>
      </c>
      <c r="I355" s="1515"/>
      <c r="J355" s="1515"/>
      <c r="L355" s="1563"/>
      <c r="M355" s="1563"/>
      <c r="N355" s="1563"/>
      <c r="O355" s="1563"/>
      <c r="P355" s="1563"/>
      <c r="Q355" s="1563"/>
      <c r="R355" s="1563"/>
      <c r="S355" s="1563"/>
      <c r="T355" s="1563"/>
      <c r="U355" s="1563" t="s">
        <v>47</v>
      </c>
      <c r="V355" s="2557"/>
      <c r="W355" s="2557"/>
      <c r="X355" s="1531" t="s">
        <v>1950</v>
      </c>
      <c r="Y355" s="3096" t="s">
        <v>1996</v>
      </c>
      <c r="Z355" s="3096"/>
      <c r="AA355" s="3096"/>
      <c r="AB355" s="3096"/>
      <c r="AC355" s="1549"/>
      <c r="AY355" s="1790">
        <v>389</v>
      </c>
    </row>
    <row r="356" spans="1:51" ht="15" customHeight="1">
      <c r="A356" s="1551" t="s">
        <v>202</v>
      </c>
      <c r="B356" s="3203"/>
      <c r="C356" s="3203"/>
      <c r="D356" s="3204"/>
      <c r="E356" s="3205"/>
      <c r="F356" s="3205"/>
      <c r="G356" s="3206"/>
      <c r="H356" s="3204"/>
      <c r="I356" s="3205"/>
      <c r="J356" s="3205"/>
      <c r="K356" s="3205"/>
      <c r="L356" s="3205"/>
      <c r="M356" s="3205"/>
      <c r="N356" s="3205"/>
      <c r="O356" s="3205"/>
      <c r="P356" s="3205"/>
      <c r="Q356" s="3205"/>
      <c r="R356" s="3205"/>
      <c r="S356" s="3205"/>
      <c r="T356" s="3206"/>
      <c r="U356" s="3204"/>
      <c r="V356" s="3205"/>
      <c r="W356" s="3206"/>
      <c r="X356" s="2821"/>
      <c r="Y356" s="3204"/>
      <c r="Z356" s="3205"/>
      <c r="AA356" s="3205"/>
      <c r="AB356" s="3206"/>
      <c r="AC356" s="1549"/>
      <c r="AY356" s="1790">
        <v>390</v>
      </c>
    </row>
    <row r="357" spans="1:51" ht="15" customHeight="1">
      <c r="A357" s="1551" t="s">
        <v>205</v>
      </c>
      <c r="B357" s="3231"/>
      <c r="C357" s="3231"/>
      <c r="D357" s="3232"/>
      <c r="E357" s="3233"/>
      <c r="F357" s="3233"/>
      <c r="G357" s="3234"/>
      <c r="H357" s="3232"/>
      <c r="I357" s="3233"/>
      <c r="J357" s="3233"/>
      <c r="K357" s="3233"/>
      <c r="L357" s="3233"/>
      <c r="M357" s="3233"/>
      <c r="N357" s="3233"/>
      <c r="O357" s="3233"/>
      <c r="P357" s="3233"/>
      <c r="Q357" s="3233"/>
      <c r="R357" s="3233"/>
      <c r="S357" s="3233"/>
      <c r="T357" s="3234"/>
      <c r="U357" s="3232"/>
      <c r="V357" s="3233"/>
      <c r="W357" s="3234"/>
      <c r="X357" s="1479"/>
      <c r="Y357" s="3232"/>
      <c r="Z357" s="3233"/>
      <c r="AA357" s="3233"/>
      <c r="AB357" s="3234"/>
      <c r="AC357" s="1549"/>
      <c r="AY357" s="1790">
        <v>391</v>
      </c>
    </row>
    <row r="358" spans="1:51" ht="15" customHeight="1">
      <c r="A358" s="1551" t="s">
        <v>207</v>
      </c>
      <c r="B358" s="3231"/>
      <c r="C358" s="3231"/>
      <c r="D358" s="3232"/>
      <c r="E358" s="3233"/>
      <c r="F358" s="3233"/>
      <c r="G358" s="3234"/>
      <c r="H358" s="3235"/>
      <c r="I358" s="3236"/>
      <c r="J358" s="3236"/>
      <c r="K358" s="3236"/>
      <c r="L358" s="3236"/>
      <c r="M358" s="3236"/>
      <c r="N358" s="3236"/>
      <c r="O358" s="3236"/>
      <c r="P358" s="3236"/>
      <c r="Q358" s="3236"/>
      <c r="R358" s="3236"/>
      <c r="S358" s="3236"/>
      <c r="T358" s="3237"/>
      <c r="U358" s="3232"/>
      <c r="V358" s="3233"/>
      <c r="W358" s="3234"/>
      <c r="X358" s="1479"/>
      <c r="Y358" s="3232"/>
      <c r="Z358" s="3233"/>
      <c r="AA358" s="3233"/>
      <c r="AB358" s="3234"/>
      <c r="AC358" s="1549"/>
      <c r="AY358" s="1791">
        <v>392</v>
      </c>
    </row>
    <row r="359" spans="1:51" ht="15" customHeight="1">
      <c r="A359" s="1551" t="s">
        <v>1997</v>
      </c>
      <c r="B359" s="3231"/>
      <c r="C359" s="3231"/>
      <c r="D359" s="3232"/>
      <c r="E359" s="3233"/>
      <c r="F359" s="3233"/>
      <c r="G359" s="3234"/>
      <c r="H359" s="3232"/>
      <c r="I359" s="3233"/>
      <c r="J359" s="3233"/>
      <c r="K359" s="3233"/>
      <c r="L359" s="3233"/>
      <c r="M359" s="3233"/>
      <c r="N359" s="3233"/>
      <c r="O359" s="3233"/>
      <c r="P359" s="3233"/>
      <c r="Q359" s="3233"/>
      <c r="R359" s="3233"/>
      <c r="S359" s="3233"/>
      <c r="T359" s="3234"/>
      <c r="U359" s="3232"/>
      <c r="V359" s="3233"/>
      <c r="W359" s="3234"/>
      <c r="X359" s="1479"/>
      <c r="Y359" s="3232"/>
      <c r="Z359" s="3233"/>
      <c r="AA359" s="3233"/>
      <c r="AB359" s="3234"/>
      <c r="AC359" s="1549"/>
      <c r="AY359" s="1791">
        <v>393</v>
      </c>
    </row>
    <row r="360" spans="1:51" ht="15" customHeight="1">
      <c r="A360" s="1551" t="s">
        <v>1998</v>
      </c>
      <c r="B360" s="3231"/>
      <c r="C360" s="3231"/>
      <c r="D360" s="3232"/>
      <c r="E360" s="3233"/>
      <c r="F360" s="3233"/>
      <c r="G360" s="3234"/>
      <c r="H360" s="3232"/>
      <c r="I360" s="3233"/>
      <c r="J360" s="3233"/>
      <c r="K360" s="3233"/>
      <c r="L360" s="3233"/>
      <c r="M360" s="3233"/>
      <c r="N360" s="3233"/>
      <c r="O360" s="3233"/>
      <c r="P360" s="3233"/>
      <c r="Q360" s="3233"/>
      <c r="R360" s="3233"/>
      <c r="S360" s="3233"/>
      <c r="T360" s="3234"/>
      <c r="U360" s="3232"/>
      <c r="V360" s="3233"/>
      <c r="W360" s="3234"/>
      <c r="X360" s="1479"/>
      <c r="Y360" s="3232"/>
      <c r="Z360" s="3233"/>
      <c r="AA360" s="3233"/>
      <c r="AB360" s="3234"/>
      <c r="AC360" s="1549"/>
      <c r="AY360" s="1791">
        <v>394</v>
      </c>
    </row>
    <row r="361" spans="1:51" ht="15" customHeight="1">
      <c r="A361" s="1551" t="s">
        <v>1999</v>
      </c>
      <c r="B361" s="3231"/>
      <c r="C361" s="3231"/>
      <c r="D361" s="3232"/>
      <c r="E361" s="3233"/>
      <c r="F361" s="3233"/>
      <c r="G361" s="3234"/>
      <c r="H361" s="3232"/>
      <c r="I361" s="3233"/>
      <c r="J361" s="3233"/>
      <c r="K361" s="3233"/>
      <c r="L361" s="3233"/>
      <c r="M361" s="3233"/>
      <c r="N361" s="3233"/>
      <c r="O361" s="3233"/>
      <c r="P361" s="3233"/>
      <c r="Q361" s="3233"/>
      <c r="R361" s="3233"/>
      <c r="S361" s="3233"/>
      <c r="T361" s="3234"/>
      <c r="U361" s="3232"/>
      <c r="V361" s="3233"/>
      <c r="W361" s="3234"/>
      <c r="X361" s="1479"/>
      <c r="Y361" s="3232"/>
      <c r="Z361" s="3233"/>
      <c r="AA361" s="3233"/>
      <c r="AB361" s="3234"/>
      <c r="AC361" s="1549"/>
      <c r="AY361" s="1791">
        <v>395</v>
      </c>
    </row>
    <row r="362" spans="1:51" ht="15" customHeight="1">
      <c r="A362" s="1551" t="s">
        <v>2000</v>
      </c>
      <c r="B362" s="3231"/>
      <c r="C362" s="3231"/>
      <c r="D362" s="3232"/>
      <c r="E362" s="3233"/>
      <c r="F362" s="3233"/>
      <c r="G362" s="3234"/>
      <c r="H362" s="3232"/>
      <c r="I362" s="3233"/>
      <c r="J362" s="3233"/>
      <c r="K362" s="3233"/>
      <c r="L362" s="3233"/>
      <c r="M362" s="3233"/>
      <c r="N362" s="3233"/>
      <c r="O362" s="3233"/>
      <c r="P362" s="3233"/>
      <c r="Q362" s="3233"/>
      <c r="R362" s="3233"/>
      <c r="S362" s="3233"/>
      <c r="T362" s="3234"/>
      <c r="U362" s="3232"/>
      <c r="V362" s="3233"/>
      <c r="W362" s="3234"/>
      <c r="X362" s="1479"/>
      <c r="Y362" s="3232"/>
      <c r="Z362" s="3233"/>
      <c r="AA362" s="3233"/>
      <c r="AB362" s="3234"/>
      <c r="AC362" s="1549"/>
      <c r="AY362" s="1790">
        <v>396</v>
      </c>
    </row>
    <row r="363" spans="1:51" ht="15" customHeight="1">
      <c r="A363" s="1551" t="s">
        <v>2001</v>
      </c>
      <c r="B363" s="3231"/>
      <c r="C363" s="3231"/>
      <c r="D363" s="3232"/>
      <c r="E363" s="3233"/>
      <c r="F363" s="3233"/>
      <c r="G363" s="3234"/>
      <c r="H363" s="3232"/>
      <c r="I363" s="3233"/>
      <c r="J363" s="3233"/>
      <c r="K363" s="3233"/>
      <c r="L363" s="3233"/>
      <c r="M363" s="3233"/>
      <c r="N363" s="3233"/>
      <c r="O363" s="3233"/>
      <c r="P363" s="3233"/>
      <c r="Q363" s="3233"/>
      <c r="R363" s="3233"/>
      <c r="S363" s="3233"/>
      <c r="T363" s="3234"/>
      <c r="U363" s="3232"/>
      <c r="V363" s="3233"/>
      <c r="W363" s="3234"/>
      <c r="X363" s="1479"/>
      <c r="Y363" s="3232"/>
      <c r="Z363" s="3233"/>
      <c r="AA363" s="3233"/>
      <c r="AB363" s="3234"/>
      <c r="AC363" s="1549"/>
      <c r="AY363" s="1791">
        <v>397</v>
      </c>
    </row>
    <row r="364" spans="1:51" ht="15" customHeight="1">
      <c r="A364" s="1551" t="s">
        <v>2002</v>
      </c>
      <c r="B364" s="3231"/>
      <c r="C364" s="3231"/>
      <c r="D364" s="3232"/>
      <c r="E364" s="3233"/>
      <c r="F364" s="3233"/>
      <c r="G364" s="3234"/>
      <c r="H364" s="3232"/>
      <c r="I364" s="3233"/>
      <c r="J364" s="3233"/>
      <c r="K364" s="3233"/>
      <c r="L364" s="3233"/>
      <c r="M364" s="3233"/>
      <c r="N364" s="3233"/>
      <c r="O364" s="3233"/>
      <c r="P364" s="3233"/>
      <c r="Q364" s="3233"/>
      <c r="R364" s="3233"/>
      <c r="S364" s="3233"/>
      <c r="T364" s="3234"/>
      <c r="U364" s="3232"/>
      <c r="V364" s="3233"/>
      <c r="W364" s="3234"/>
      <c r="X364" s="1479"/>
      <c r="Y364" s="3232"/>
      <c r="Z364" s="3233"/>
      <c r="AA364" s="3233"/>
      <c r="AB364" s="3234"/>
      <c r="AY364" s="1790">
        <v>398</v>
      </c>
    </row>
    <row r="365" spans="1:51" ht="15" customHeight="1">
      <c r="A365" s="1551" t="s">
        <v>2003</v>
      </c>
      <c r="B365" s="3248"/>
      <c r="C365" s="3248"/>
      <c r="D365" s="3249"/>
      <c r="E365" s="3250"/>
      <c r="F365" s="3250"/>
      <c r="G365" s="3251"/>
      <c r="H365" s="3249"/>
      <c r="I365" s="3250"/>
      <c r="J365" s="3250"/>
      <c r="K365" s="3250"/>
      <c r="L365" s="3250"/>
      <c r="M365" s="3250"/>
      <c r="N365" s="3250"/>
      <c r="O365" s="3250"/>
      <c r="P365" s="3250"/>
      <c r="Q365" s="3250"/>
      <c r="R365" s="3250"/>
      <c r="S365" s="3250"/>
      <c r="T365" s="3251"/>
      <c r="U365" s="3249"/>
      <c r="V365" s="3252"/>
      <c r="W365" s="3253"/>
      <c r="X365" s="1480"/>
      <c r="Y365" s="3249"/>
      <c r="Z365" s="3250"/>
      <c r="AA365" s="3250"/>
      <c r="AB365" s="3251"/>
      <c r="AC365" s="1549"/>
      <c r="AY365" s="1790">
        <v>399</v>
      </c>
    </row>
    <row r="366" spans="1:51" s="1557" customFormat="1" ht="15.95" customHeight="1">
      <c r="A366" s="2555"/>
      <c r="B366" s="1550" t="s">
        <v>252</v>
      </c>
      <c r="C366" s="1557" t="s">
        <v>2004</v>
      </c>
      <c r="E366" s="1620"/>
      <c r="F366" s="3257" t="s">
        <v>1993</v>
      </c>
      <c r="G366" s="3257"/>
      <c r="H366" s="3257"/>
      <c r="I366" s="3257"/>
      <c r="J366" s="3257"/>
      <c r="K366" s="3257"/>
      <c r="L366" s="3257"/>
      <c r="M366" s="1612"/>
      <c r="N366" s="1612"/>
      <c r="P366" s="1612"/>
      <c r="Q366" s="3254" t="s">
        <v>2005</v>
      </c>
      <c r="R366" s="3254"/>
      <c r="S366" s="3254"/>
      <c r="T366" s="3254"/>
      <c r="U366" s="3254"/>
      <c r="V366" s="3255"/>
      <c r="W366" s="3256"/>
      <c r="X366" s="1665" t="str">
        <f>IF(OR($AA366="",AND($AA366&gt;=0,$AA366&lt;=$Z366,$C$16="4%"),$C$16="4%"),"","Ineligible!")</f>
        <v/>
      </c>
      <c r="Y366" s="1588" t="s">
        <v>1743</v>
      </c>
      <c r="Z366" s="2557">
        <v>6</v>
      </c>
      <c r="AA366" s="1481"/>
      <c r="AB366" s="1666"/>
      <c r="AC366" s="1549" t="str">
        <f>IF(OR($AA366&lt;=$Z366,$AA366=0,$AA366=""),"","*CHECK!*")</f>
        <v/>
      </c>
      <c r="AY366" s="1790">
        <v>400</v>
      </c>
    </row>
    <row r="367" spans="1:51" ht="15.95" customHeight="1">
      <c r="A367" s="1515"/>
      <c r="B367" s="3258" t="s">
        <v>1792</v>
      </c>
      <c r="C367" s="3258"/>
      <c r="D367" s="3258"/>
      <c r="E367" s="3258"/>
      <c r="F367" s="3258"/>
      <c r="G367" s="3258"/>
      <c r="H367" s="3258"/>
      <c r="I367" s="3258"/>
      <c r="J367" s="3258"/>
      <c r="K367" s="1515"/>
      <c r="L367" s="1515"/>
      <c r="M367" s="1515"/>
      <c r="N367" s="1515"/>
      <c r="O367" s="1515"/>
      <c r="P367" s="1515"/>
      <c r="Q367" s="1515"/>
      <c r="R367" s="1515"/>
      <c r="S367" s="1515"/>
      <c r="T367" s="1515"/>
      <c r="U367" s="1515"/>
      <c r="V367" s="1515"/>
      <c r="W367" s="1515"/>
      <c r="Y367" s="2557"/>
      <c r="AA367" s="1525"/>
      <c r="AY367" s="1790">
        <v>401</v>
      </c>
    </row>
    <row r="368" spans="1:51" ht="45" customHeight="1">
      <c r="A368" s="3123" t="s">
        <v>670</v>
      </c>
      <c r="B368" s="3124"/>
      <c r="C368" s="3124"/>
      <c r="D368" s="3124"/>
      <c r="E368" s="3124"/>
      <c r="F368" s="3124"/>
      <c r="G368" s="3124"/>
      <c r="H368" s="3124"/>
      <c r="I368" s="3124"/>
      <c r="J368" s="3124"/>
      <c r="K368" s="3124"/>
      <c r="L368" s="3124"/>
      <c r="M368" s="3124"/>
      <c r="N368" s="3124"/>
      <c r="O368" s="3124"/>
      <c r="P368" s="3124"/>
      <c r="Q368" s="3124"/>
      <c r="R368" s="3124"/>
      <c r="S368" s="3124"/>
      <c r="T368" s="3124"/>
      <c r="U368" s="3124"/>
      <c r="V368" s="3124"/>
      <c r="W368" s="3124"/>
      <c r="X368" s="3124"/>
      <c r="Y368" s="3124"/>
      <c r="Z368" s="3124"/>
      <c r="AA368" s="3124"/>
      <c r="AB368" s="3125"/>
      <c r="AC368" s="1574"/>
      <c r="AD368" s="1574"/>
      <c r="AY368" s="1790">
        <v>402</v>
      </c>
    </row>
    <row r="369" spans="1:51" s="1515" customFormat="1" ht="15.95" customHeight="1">
      <c r="A369" s="1533"/>
      <c r="B369" s="1533" t="s">
        <v>1452</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018"/>
      <c r="B370" s="3019"/>
      <c r="C370" s="3019"/>
      <c r="D370" s="3019"/>
      <c r="E370" s="3019"/>
      <c r="F370" s="3019"/>
      <c r="G370" s="3019"/>
      <c r="H370" s="3019"/>
      <c r="I370" s="3019"/>
      <c r="J370" s="3019"/>
      <c r="K370" s="3019"/>
      <c r="L370" s="3019"/>
      <c r="M370" s="3019"/>
      <c r="N370" s="3019"/>
      <c r="O370" s="3019"/>
      <c r="P370" s="3019"/>
      <c r="Q370" s="3019"/>
      <c r="R370" s="3019"/>
      <c r="S370" s="3019"/>
      <c r="T370" s="3019"/>
      <c r="U370" s="3019"/>
      <c r="V370" s="3019"/>
      <c r="W370" s="3019"/>
      <c r="X370" s="3019"/>
      <c r="Y370" s="3019"/>
      <c r="Z370" s="3019"/>
      <c r="AA370" s="3019"/>
      <c r="AB370" s="3020"/>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3238" t="s">
        <v>2006</v>
      </c>
      <c r="AD371" s="3239"/>
      <c r="AE371" s="3239"/>
      <c r="AF371" s="3239"/>
      <c r="AG371" s="3239"/>
      <c r="AH371" s="3239"/>
      <c r="AI371" s="3239"/>
      <c r="AJ371" s="3239"/>
      <c r="AK371" s="3239"/>
      <c r="AL371" s="3239"/>
      <c r="AM371" s="3239"/>
      <c r="AN371" s="3239"/>
      <c r="AO371" s="3239"/>
      <c r="AP371" s="3239"/>
      <c r="AQ371" s="3239"/>
      <c r="AR371" s="3239"/>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3238"/>
      <c r="AD372" s="3239"/>
      <c r="AE372" s="3239"/>
      <c r="AF372" s="3239"/>
      <c r="AG372" s="3239"/>
      <c r="AH372" s="3239"/>
      <c r="AI372" s="3239"/>
      <c r="AJ372" s="3239"/>
      <c r="AK372" s="3239"/>
      <c r="AL372" s="3239"/>
      <c r="AM372" s="3239"/>
      <c r="AN372" s="3239"/>
      <c r="AO372" s="3239"/>
      <c r="AP372" s="3239"/>
      <c r="AQ372" s="3239"/>
      <c r="AR372" s="3239"/>
      <c r="AY372" s="1791">
        <v>406</v>
      </c>
    </row>
    <row r="373" spans="1:51" ht="15.95" customHeight="1" thickBot="1">
      <c r="AC373" s="3238"/>
      <c r="AD373" s="3239"/>
      <c r="AE373" s="3239"/>
      <c r="AF373" s="3239"/>
      <c r="AG373" s="3239"/>
      <c r="AH373" s="3239"/>
      <c r="AI373" s="3239"/>
      <c r="AJ373" s="3239"/>
      <c r="AK373" s="3239"/>
      <c r="AL373" s="3239"/>
      <c r="AM373" s="3239"/>
      <c r="AN373" s="3239"/>
      <c r="AO373" s="3239"/>
      <c r="AP373" s="3239"/>
      <c r="AQ373" s="3239"/>
      <c r="AR373" s="3239"/>
      <c r="AY373" s="1791">
        <v>407</v>
      </c>
    </row>
    <row r="374" spans="1:51" s="1515" customFormat="1" ht="21" customHeight="1">
      <c r="A374" s="1523" t="s">
        <v>2007</v>
      </c>
      <c r="B374" s="1514"/>
      <c r="E374" s="1514"/>
      <c r="F374" s="1514"/>
      <c r="G374" s="1514"/>
      <c r="Y374" s="1462"/>
      <c r="Z374" s="1526"/>
      <c r="AA374" s="1527">
        <f>IF(AND($M$11="New Affordability",$C$16="9%"),$BH$416,IF(AND($M$11="New Affordability",$C$16="4%"),$BI$416,IF(AND($M$11="Preservation",$C$16="9%"),$BJ$416,IF(AND($M$11="Preservation",$C$16="4%"),$BK$416,0))))</f>
        <v>81.5</v>
      </c>
      <c r="AB374" s="1527">
        <f>IF(AND($M$11="New Affordability",$C$16="9%"),$BL$416,IF(AND($M$11="New Affordability",$C$16="4%"),$BM$416,IF(AND($M$11="Preservation",$C$16="9%"),$BN$416,IF(AND($M$11="Preservation",$C$16="4%"),$BO$416,0))))</f>
        <v>12</v>
      </c>
      <c r="AC374" s="3239"/>
      <c r="AD374" s="3239"/>
      <c r="AE374" s="3239"/>
      <c r="AF374" s="3239"/>
      <c r="AG374" s="3239"/>
      <c r="AH374" s="3239"/>
      <c r="AI374" s="3239"/>
      <c r="AJ374" s="3239"/>
      <c r="AK374" s="3239"/>
      <c r="AL374" s="3239"/>
      <c r="AM374" s="3239"/>
      <c r="AN374" s="3239"/>
      <c r="AO374" s="3239"/>
      <c r="AP374" s="3239"/>
      <c r="AQ374" s="3239"/>
      <c r="AR374" s="3239"/>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3238"/>
      <c r="AD375" s="3239"/>
      <c r="AE375" s="3239"/>
      <c r="AF375" s="3239"/>
      <c r="AG375" s="3239"/>
      <c r="AH375" s="3239"/>
      <c r="AI375" s="3239"/>
      <c r="AJ375" s="3239"/>
      <c r="AK375" s="3239"/>
      <c r="AL375" s="3239"/>
      <c r="AM375" s="3239"/>
      <c r="AN375" s="3239"/>
      <c r="AO375" s="3239"/>
      <c r="AP375" s="3239"/>
      <c r="AQ375" s="3239"/>
      <c r="AR375" s="3239"/>
      <c r="AY375" s="1790">
        <v>409</v>
      </c>
    </row>
    <row r="376" spans="1:51" ht="9" customHeight="1">
      <c r="G376" s="2562"/>
      <c r="H376" s="2562"/>
      <c r="I376" s="1517"/>
      <c r="J376" s="1517"/>
      <c r="Z376" s="1517"/>
      <c r="AA376" s="1517"/>
      <c r="AB376" s="1525"/>
      <c r="AC376" s="3238"/>
      <c r="AD376" s="3239"/>
      <c r="AE376" s="3239"/>
      <c r="AF376" s="3239"/>
      <c r="AG376" s="3239"/>
      <c r="AH376" s="3239"/>
      <c r="AI376" s="3239"/>
      <c r="AJ376" s="3239"/>
      <c r="AK376" s="3239"/>
      <c r="AL376" s="3239"/>
      <c r="AM376" s="3239"/>
      <c r="AN376" s="3239"/>
      <c r="AO376" s="3239"/>
      <c r="AP376" s="3239"/>
      <c r="AQ376" s="3239"/>
      <c r="AR376" s="3239"/>
      <c r="AY376" s="1791">
        <v>410</v>
      </c>
    </row>
    <row r="377" spans="1:51" ht="45" customHeight="1">
      <c r="A377" s="3240" t="s">
        <v>2008</v>
      </c>
      <c r="B377" s="3240"/>
      <c r="C377" s="3240"/>
      <c r="D377" s="3240"/>
      <c r="E377" s="3240"/>
      <c r="F377" s="3240"/>
      <c r="G377" s="3240"/>
      <c r="H377" s="3240"/>
      <c r="I377" s="3240"/>
      <c r="J377" s="3240"/>
      <c r="K377" s="3240"/>
      <c r="L377" s="3240"/>
      <c r="M377" s="3240"/>
      <c r="N377" s="3240"/>
      <c r="O377" s="3240"/>
      <c r="P377" s="3240"/>
      <c r="Q377" s="3240"/>
      <c r="R377" s="3240"/>
      <c r="S377" s="3240"/>
      <c r="T377" s="3240"/>
      <c r="U377" s="3240"/>
      <c r="V377" s="3240"/>
      <c r="W377" s="3240"/>
      <c r="X377" s="3240"/>
      <c r="Y377" s="3240"/>
      <c r="Z377" s="3240"/>
      <c r="AA377" s="3240"/>
      <c r="AB377" s="3240"/>
      <c r="AC377" s="3238"/>
      <c r="AD377" s="3239"/>
      <c r="AE377" s="3239"/>
      <c r="AF377" s="3239"/>
      <c r="AG377" s="3239"/>
      <c r="AH377" s="3239"/>
      <c r="AI377" s="3239"/>
      <c r="AJ377" s="3239"/>
      <c r="AK377" s="3239"/>
      <c r="AL377" s="3239"/>
      <c r="AM377" s="3239"/>
      <c r="AN377" s="3239"/>
      <c r="AO377" s="3239"/>
      <c r="AP377" s="3239"/>
      <c r="AQ377" s="3239"/>
      <c r="AR377" s="3239"/>
      <c r="AY377" s="1790">
        <v>411</v>
      </c>
    </row>
    <row r="378" spans="1:51" ht="409.5" customHeight="1">
      <c r="A378" s="3123"/>
      <c r="B378" s="3124"/>
      <c r="C378" s="3124"/>
      <c r="D378" s="3124"/>
      <c r="E378" s="3124"/>
      <c r="F378" s="3124"/>
      <c r="G378" s="3124"/>
      <c r="H378" s="3124"/>
      <c r="I378" s="3124"/>
      <c r="J378" s="3124"/>
      <c r="K378" s="3124"/>
      <c r="L378" s="3124"/>
      <c r="M378" s="3124"/>
      <c r="N378" s="3124"/>
      <c r="O378" s="3124"/>
      <c r="P378" s="3124"/>
      <c r="Q378" s="3124"/>
      <c r="R378" s="3124"/>
      <c r="S378" s="3124"/>
      <c r="T378" s="3124"/>
      <c r="U378" s="3124"/>
      <c r="V378" s="3124"/>
      <c r="W378" s="3124"/>
      <c r="X378" s="3124"/>
      <c r="Y378" s="3124"/>
      <c r="Z378" s="3124"/>
      <c r="AA378" s="3124"/>
      <c r="AB378" s="3125"/>
      <c r="AC378" s="1529"/>
      <c r="AD378" s="1529"/>
      <c r="AE378" s="1529"/>
      <c r="AF378" s="1529"/>
      <c r="AG378" s="1529"/>
      <c r="AH378" s="1529"/>
      <c r="AI378" s="1529"/>
      <c r="AJ378" s="1529"/>
      <c r="AK378" s="1529"/>
      <c r="AY378" s="1790">
        <v>412</v>
      </c>
    </row>
    <row r="379" spans="1:51">
      <c r="B379" s="1463"/>
      <c r="C379" s="1463" t="s">
        <v>1698</v>
      </c>
      <c r="D379" s="1463"/>
      <c r="E379" s="1463"/>
      <c r="F379" s="1463"/>
      <c r="G379" s="1463"/>
      <c r="H379" s="1463"/>
      <c r="I379" s="1463"/>
      <c r="J379" s="1463"/>
      <c r="K379" s="1464" t="s">
        <v>1621</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c r="B380" s="1463"/>
      <c r="C380" s="1463" t="s">
        <v>2009</v>
      </c>
      <c r="D380" s="1463"/>
      <c r="E380" s="1463"/>
      <c r="F380" s="1463"/>
      <c r="G380" s="1463"/>
      <c r="H380" s="1463"/>
      <c r="I380" s="1463"/>
      <c r="J380" s="1463"/>
      <c r="K380" s="1464" t="s">
        <v>1644</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c r="B381" s="1463"/>
      <c r="C381" s="1463" t="s">
        <v>2010</v>
      </c>
      <c r="D381" s="1463"/>
      <c r="E381" s="1463"/>
      <c r="F381" s="1463"/>
      <c r="G381" s="1463"/>
      <c r="H381" s="1463"/>
      <c r="I381" s="1463"/>
      <c r="J381" s="1463"/>
      <c r="K381" s="1464" t="s">
        <v>2011</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c r="B382" s="1463"/>
      <c r="C382" s="1463" t="s">
        <v>2012</v>
      </c>
      <c r="D382" s="1463"/>
      <c r="E382" s="1463"/>
      <c r="F382" s="1463"/>
      <c r="G382" s="1463"/>
      <c r="H382" s="1463"/>
      <c r="I382" s="1463"/>
      <c r="J382" s="1463"/>
      <c r="K382" s="1464" t="s">
        <v>2013</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c r="B383" s="1463"/>
      <c r="C383" s="1463"/>
      <c r="D383" s="1463"/>
      <c r="E383" s="1463"/>
      <c r="F383" s="1463"/>
      <c r="G383" s="1463"/>
      <c r="H383" s="1463"/>
      <c r="I383" s="1463"/>
      <c r="J383" s="1463"/>
      <c r="K383" s="1464" t="s">
        <v>1699</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c r="B384" s="1463"/>
      <c r="C384" s="1463" t="s">
        <v>720</v>
      </c>
      <c r="D384" s="1463"/>
      <c r="E384" s="1463"/>
      <c r="F384" s="1463"/>
      <c r="G384" s="1463"/>
      <c r="H384" s="1463"/>
      <c r="I384" s="1463"/>
      <c r="J384" s="1463"/>
      <c r="K384" s="1464" t="s">
        <v>2014</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c r="B385" s="1463"/>
      <c r="C385" s="1465" t="s">
        <v>1617</v>
      </c>
      <c r="D385" s="1465"/>
      <c r="E385" s="1463"/>
      <c r="F385" s="1463"/>
      <c r="G385" s="1463"/>
      <c r="H385" s="1463"/>
      <c r="I385" s="1463"/>
      <c r="J385" s="1463"/>
      <c r="K385" s="1464" t="s">
        <v>2015</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3241" t="s">
        <v>2016</v>
      </c>
      <c r="BI385" s="3241"/>
      <c r="BJ385" s="3241"/>
      <c r="BK385" s="3241"/>
      <c r="BL385" s="3241"/>
      <c r="BM385" s="3241"/>
      <c r="BN385" s="3241"/>
      <c r="BO385" s="3241"/>
      <c r="BP385" s="1515"/>
      <c r="BQ385" s="1515"/>
      <c r="BR385" s="1515"/>
    </row>
    <row r="386" spans="2:70">
      <c r="B386" s="1463"/>
      <c r="C386" s="1465" t="s">
        <v>1620</v>
      </c>
      <c r="D386" s="1465"/>
      <c r="E386" s="1463"/>
      <c r="F386" s="1463"/>
      <c r="G386" s="1463"/>
      <c r="H386" s="1463"/>
      <c r="I386" s="1463"/>
      <c r="J386" s="1463"/>
      <c r="K386" s="1464" t="s">
        <v>1630</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3242" t="s">
        <v>2017</v>
      </c>
      <c r="BI386" s="3243"/>
      <c r="BJ386" s="3243"/>
      <c r="BK386" s="3244"/>
      <c r="BL386" s="3245" t="s">
        <v>2018</v>
      </c>
      <c r="BM386" s="3246"/>
      <c r="BN386" s="3246"/>
      <c r="BO386" s="3247"/>
    </row>
    <row r="387" spans="2:70">
      <c r="B387" s="1463"/>
      <c r="C387" s="1465" t="s">
        <v>1623</v>
      </c>
      <c r="D387" s="1465"/>
      <c r="E387" s="1463"/>
      <c r="F387" s="1463"/>
      <c r="G387" s="1463"/>
      <c r="H387" s="1463"/>
      <c r="I387" s="1463"/>
      <c r="J387" s="1463"/>
      <c r="K387" s="1464" t="s">
        <v>1615</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25</v>
      </c>
      <c r="AN387" s="1731" t="s">
        <v>1728</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1626</v>
      </c>
      <c r="D388" s="1465"/>
      <c r="E388" s="1463"/>
      <c r="F388" s="1463"/>
      <c r="G388" s="1463"/>
      <c r="H388" s="1463"/>
      <c r="I388" s="1463"/>
      <c r="J388" s="1463"/>
      <c r="K388" s="1464" t="s">
        <v>1627</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261" t="s">
        <v>1254</v>
      </c>
      <c r="AT388" s="3261"/>
      <c r="AU388" s="3261" t="s">
        <v>2019</v>
      </c>
      <c r="AV388" s="3261"/>
      <c r="AW388" s="3264" t="s">
        <v>2020</v>
      </c>
      <c r="AX388" s="3264"/>
      <c r="AY388" s="3264"/>
      <c r="AZ388" s="3264"/>
      <c r="BB388" s="1536"/>
      <c r="BC388" s="1535" t="s">
        <v>1728</v>
      </c>
      <c r="BD388" s="1536"/>
      <c r="BE388" s="1536"/>
      <c r="BF388" s="1536"/>
      <c r="BH388" s="3265" t="s">
        <v>1254</v>
      </c>
      <c r="BI388" s="3266"/>
      <c r="BJ388" s="3265" t="s">
        <v>2019</v>
      </c>
      <c r="BK388" s="3266"/>
      <c r="BL388" s="3267" t="s">
        <v>1254</v>
      </c>
      <c r="BM388" s="3267"/>
      <c r="BN388" s="3259" t="s">
        <v>2019</v>
      </c>
      <c r="BO388" s="3260"/>
    </row>
    <row r="389" spans="2:70" ht="28.5">
      <c r="B389" s="1463"/>
      <c r="C389" s="1465" t="s">
        <v>1629</v>
      </c>
      <c r="D389" s="1465"/>
      <c r="E389" s="1463"/>
      <c r="F389" s="1463"/>
      <c r="G389" s="1463"/>
      <c r="H389" s="1463"/>
      <c r="I389" s="1463"/>
      <c r="J389" s="1463"/>
      <c r="K389" s="1464" t="s">
        <v>2021</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2022</v>
      </c>
      <c r="AU389" s="1732">
        <v>0.09</v>
      </c>
      <c r="AV389" s="1732" t="s">
        <v>2022</v>
      </c>
      <c r="AW389" s="3261" t="str">
        <f>'Part I-Project Identification'!F12</f>
        <v>9% Credits</v>
      </c>
      <c r="AX389" s="3261"/>
      <c r="AY389" s="3261"/>
      <c r="AZ389" s="3261"/>
      <c r="BC389" s="1515"/>
      <c r="BH389" s="1668">
        <v>0.09</v>
      </c>
      <c r="BI389" s="1668" t="s">
        <v>2022</v>
      </c>
      <c r="BJ389" s="1668">
        <v>0.09</v>
      </c>
      <c r="BK389" s="1668" t="s">
        <v>2022</v>
      </c>
      <c r="BL389" s="1669">
        <v>0.09</v>
      </c>
      <c r="BM389" s="1669" t="s">
        <v>2022</v>
      </c>
      <c r="BN389" s="1669">
        <v>0.09</v>
      </c>
      <c r="BO389" s="1669" t="s">
        <v>2022</v>
      </c>
    </row>
    <row r="390" spans="2:70">
      <c r="B390" s="1463"/>
      <c r="C390" s="1465" t="s">
        <v>1632</v>
      </c>
      <c r="D390" s="1465"/>
      <c r="E390" s="1463"/>
      <c r="F390" s="1463"/>
      <c r="G390" s="1463"/>
      <c r="H390" s="1463"/>
      <c r="I390" s="1463"/>
      <c r="J390" s="1463"/>
      <c r="K390" s="1464" t="s">
        <v>1642</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c r="B391" s="1463"/>
      <c r="C391" s="1465" t="s">
        <v>1635</v>
      </c>
      <c r="D391" s="1465"/>
      <c r="E391" s="1463"/>
      <c r="F391" s="1463"/>
      <c r="G391" s="1463"/>
      <c r="H391" s="1463"/>
      <c r="I391" s="1463"/>
      <c r="J391" s="1463"/>
      <c r="K391" s="1464" t="s">
        <v>2023</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31</v>
      </c>
      <c r="AN391" s="1446" t="s">
        <v>2024</v>
      </c>
      <c r="AO391" s="1463"/>
      <c r="AP391" s="1463"/>
      <c r="AQ391" s="1463"/>
      <c r="AR391" s="1463"/>
      <c r="AS391" s="1734">
        <f>$Y$23</f>
        <v>6</v>
      </c>
      <c r="AT391" s="1734">
        <f>$Y$23</f>
        <v>6</v>
      </c>
      <c r="AU391" s="1734">
        <f>$Y$23</f>
        <v>6</v>
      </c>
      <c r="AV391" s="1734">
        <f>$Y$23</f>
        <v>6</v>
      </c>
      <c r="AW391" s="1463"/>
      <c r="AX391" s="1463"/>
      <c r="AY391" s="2568"/>
      <c r="AZ391" s="1463"/>
      <c r="BB391" s="1547" t="s">
        <v>31</v>
      </c>
      <c r="BC391" s="1674" t="s">
        <v>2024</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c r="B392" s="1463"/>
      <c r="C392" s="1465" t="s">
        <v>1638</v>
      </c>
      <c r="D392" s="1465"/>
      <c r="E392" s="1463"/>
      <c r="F392" s="1463"/>
      <c r="G392" s="1463"/>
      <c r="H392" s="1463"/>
      <c r="I392" s="1463"/>
      <c r="J392" s="1463"/>
      <c r="K392" s="1464" t="s">
        <v>2025</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43</v>
      </c>
      <c r="AN392" s="1446" t="s">
        <v>2026</v>
      </c>
      <c r="AO392" s="1463"/>
      <c r="AP392" s="1463"/>
      <c r="AQ392" s="1463"/>
      <c r="AR392" s="1463"/>
      <c r="AS392" s="1734">
        <v>0</v>
      </c>
      <c r="AT392" s="1734">
        <v>0</v>
      </c>
      <c r="AU392" s="1734">
        <v>0</v>
      </c>
      <c r="AV392" s="1734">
        <v>0</v>
      </c>
      <c r="AW392" s="1445" t="s">
        <v>2027</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43</v>
      </c>
      <c r="BC392" s="1674" t="s">
        <v>2026</v>
      </c>
      <c r="BD392" s="1680"/>
      <c r="BE392" s="1680"/>
      <c r="BF392" s="1680"/>
      <c r="BG392" s="1680"/>
      <c r="BH392" s="1675">
        <v>0</v>
      </c>
      <c r="BI392" s="1681">
        <v>0</v>
      </c>
      <c r="BJ392" s="1675">
        <v>0</v>
      </c>
      <c r="BK392" s="1676">
        <v>0</v>
      </c>
      <c r="BL392" s="1677">
        <v>0</v>
      </c>
      <c r="BM392" s="1678">
        <v>0</v>
      </c>
      <c r="BN392" s="1679">
        <v>0</v>
      </c>
      <c r="BO392" s="1678">
        <v>0</v>
      </c>
    </row>
    <row r="393" spans="2:70">
      <c r="B393" s="1463"/>
      <c r="C393" s="1465" t="s">
        <v>1641</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57</v>
      </c>
      <c r="AN393" s="1446" t="s">
        <v>2028</v>
      </c>
      <c r="AO393" s="1463"/>
      <c r="AP393" s="1463"/>
      <c r="AQ393" s="1463"/>
      <c r="AR393" s="1463"/>
      <c r="AS393" s="1735">
        <f>$Y$38</f>
        <v>5</v>
      </c>
      <c r="AT393" s="1734">
        <f>$Y$38</f>
        <v>5</v>
      </c>
      <c r="AU393" s="1734">
        <f>$Y$38</f>
        <v>5</v>
      </c>
      <c r="AV393" s="1734">
        <f>$Y$38</f>
        <v>5</v>
      </c>
      <c r="AW393" s="1463"/>
      <c r="AX393" s="1463"/>
      <c r="AY393" s="2568"/>
      <c r="AZ393" s="1463"/>
      <c r="BB393" s="1547" t="s">
        <v>57</v>
      </c>
      <c r="BC393" s="1674" t="s">
        <v>2028</v>
      </c>
      <c r="BD393" s="1680"/>
      <c r="BE393" s="1680"/>
      <c r="BF393" s="1680"/>
      <c r="BG393" s="1680"/>
      <c r="BH393" s="1682">
        <f>$AA$38</f>
        <v>0</v>
      </c>
      <c r="BI393" s="1683">
        <f>$AA$38</f>
        <v>0</v>
      </c>
      <c r="BJ393" s="1684">
        <f>$AA$38</f>
        <v>0</v>
      </c>
      <c r="BK393" s="1685">
        <f>$AA$38</f>
        <v>0</v>
      </c>
      <c r="BL393" s="1686">
        <f>$AB$38</f>
        <v>0</v>
      </c>
      <c r="BM393" s="1687">
        <f>$AB$38</f>
        <v>0</v>
      </c>
      <c r="BN393" s="1688">
        <f>$AB$38</f>
        <v>0</v>
      </c>
      <c r="BO393" s="1689">
        <f>$AB$38</f>
        <v>0</v>
      </c>
    </row>
    <row r="394" spans="2:70">
      <c r="B394" s="1463"/>
      <c r="C394" s="1465" t="s">
        <v>1643</v>
      </c>
      <c r="D394" s="1465"/>
      <c r="E394" s="1463"/>
      <c r="F394" s="1463"/>
      <c r="G394" s="1463"/>
      <c r="H394" s="1463"/>
      <c r="I394" s="1463"/>
      <c r="J394" s="1463"/>
      <c r="K394" s="1466" t="s">
        <v>2029</v>
      </c>
      <c r="L394" s="1466"/>
      <c r="M394" s="1466"/>
      <c r="N394" s="1466"/>
      <c r="O394" s="1466"/>
      <c r="P394" s="1466"/>
      <c r="Q394" s="1466"/>
      <c r="R394" s="1466"/>
      <c r="S394" s="1466"/>
      <c r="T394" s="1463"/>
      <c r="U394" s="1463"/>
      <c r="V394" s="1463"/>
      <c r="W394" s="1463"/>
      <c r="X394" s="1463"/>
      <c r="Y394" s="1463"/>
      <c r="Z394" s="2568"/>
      <c r="AA394" s="1466" t="s">
        <v>2030</v>
      </c>
      <c r="AB394" s="1572"/>
      <c r="AC394" s="2457"/>
      <c r="AD394" s="2457"/>
      <c r="AE394" s="2457"/>
      <c r="AF394" s="2457"/>
      <c r="AG394" s="2457"/>
      <c r="AH394" s="2457"/>
      <c r="AI394" s="2457"/>
      <c r="AJ394" s="2457"/>
      <c r="AK394" s="2457"/>
      <c r="AL394" s="1463"/>
      <c r="AM394" s="1733" t="s">
        <v>66</v>
      </c>
      <c r="AN394" s="1446" t="s">
        <v>2031</v>
      </c>
      <c r="AO394" s="1463"/>
      <c r="AP394" s="1463"/>
      <c r="AQ394" s="1463"/>
      <c r="AR394" s="1463"/>
      <c r="AS394" s="1734">
        <f>$Y$71</f>
        <v>10</v>
      </c>
      <c r="AT394" s="1734">
        <f>$Y$71</f>
        <v>10</v>
      </c>
      <c r="AU394" s="1734">
        <f>$Y$71</f>
        <v>10</v>
      </c>
      <c r="AV394" s="1734">
        <f>$Y$71</f>
        <v>10</v>
      </c>
      <c r="AW394" s="1463"/>
      <c r="AX394" s="1463"/>
      <c r="AY394" s="2568"/>
      <c r="AZ394" s="1463"/>
      <c r="BB394" s="1547" t="s">
        <v>66</v>
      </c>
      <c r="BC394" s="1674" t="s">
        <v>2031</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c r="B395" s="1463"/>
      <c r="C395" s="1465" t="s">
        <v>1645</v>
      </c>
      <c r="D395" s="1465"/>
      <c r="E395" s="1463"/>
      <c r="F395" s="1463"/>
      <c r="G395" s="1463"/>
      <c r="H395" s="1463"/>
      <c r="I395" s="1463"/>
      <c r="J395" s="1463"/>
      <c r="K395" s="1464" t="s">
        <v>2032</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68</v>
      </c>
      <c r="AN395" s="1446" t="s">
        <v>2033</v>
      </c>
      <c r="AO395" s="1463"/>
      <c r="AP395" s="1463"/>
      <c r="AQ395" s="1463"/>
      <c r="AR395" s="1463"/>
      <c r="AS395" s="1734">
        <f>$Y$81</f>
        <v>5</v>
      </c>
      <c r="AT395" s="1734">
        <f>$Y$81</f>
        <v>5</v>
      </c>
      <c r="AU395" s="1734">
        <f>$Y$81</f>
        <v>5</v>
      </c>
      <c r="AV395" s="1734">
        <f>$Y$81</f>
        <v>5</v>
      </c>
      <c r="AW395" s="3262" t="s">
        <v>2034</v>
      </c>
      <c r="AX395" s="3262"/>
      <c r="AY395" s="3262"/>
      <c r="AZ395" s="3262"/>
      <c r="BB395" s="1547" t="s">
        <v>68</v>
      </c>
      <c r="BC395" s="1674" t="s">
        <v>2033</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c r="B396" s="1463"/>
      <c r="C396" s="1465" t="s">
        <v>1648</v>
      </c>
      <c r="D396" s="1465"/>
      <c r="E396" s="1463"/>
      <c r="F396" s="1463"/>
      <c r="G396" s="1463"/>
      <c r="H396" s="1463"/>
      <c r="I396" s="1463"/>
      <c r="J396" s="1463"/>
      <c r="K396" s="1463" t="s">
        <v>2035</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1481</v>
      </c>
      <c r="AN396" s="1463" t="s">
        <v>2036</v>
      </c>
      <c r="AO396" s="1463"/>
      <c r="AP396" s="1463"/>
      <c r="AQ396" s="1463"/>
      <c r="AR396" s="1463"/>
      <c r="AS396" s="1734">
        <f>$Y$98</f>
        <v>15</v>
      </c>
      <c r="AT396" s="1734">
        <f>$Y$98</f>
        <v>15</v>
      </c>
      <c r="AU396" s="1734">
        <f>$Y$98</f>
        <v>15</v>
      </c>
      <c r="AV396" s="1734">
        <f>$Y$98</f>
        <v>15</v>
      </c>
      <c r="AW396" s="3262"/>
      <c r="AX396" s="3262"/>
      <c r="AY396" s="3262"/>
      <c r="AZ396" s="3262"/>
      <c r="BB396" s="1547" t="s">
        <v>1481</v>
      </c>
      <c r="BC396" s="1674" t="s">
        <v>2036</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c r="B397" s="1463"/>
      <c r="C397" s="1463"/>
      <c r="D397" s="1463"/>
      <c r="E397" s="1463"/>
      <c r="F397" s="1463"/>
      <c r="G397" s="1463"/>
      <c r="H397" s="1463"/>
      <c r="I397" s="1463"/>
      <c r="J397" s="1463"/>
      <c r="K397" s="1463" t="s">
        <v>2037</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1485</v>
      </c>
      <c r="AN397" s="1446" t="s">
        <v>2038</v>
      </c>
      <c r="AO397" s="1463"/>
      <c r="AP397" s="1463"/>
      <c r="AQ397" s="1463"/>
      <c r="AR397" s="1463"/>
      <c r="AS397" s="1734">
        <f>$Y$119</f>
        <v>3</v>
      </c>
      <c r="AT397" s="1734">
        <f>$Y$119</f>
        <v>3</v>
      </c>
      <c r="AU397" s="1734">
        <f>$Y$119</f>
        <v>3</v>
      </c>
      <c r="AV397" s="1734">
        <f>$Y$119</f>
        <v>3</v>
      </c>
      <c r="AW397" s="1446" t="s">
        <v>2039</v>
      </c>
      <c r="AX397" s="1446"/>
      <c r="AY397" s="1454"/>
      <c r="AZ397" s="1454"/>
      <c r="BB397" s="1547" t="s">
        <v>1485</v>
      </c>
      <c r="BC397" s="1674" t="s">
        <v>2038</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c r="B398" s="1463"/>
      <c r="C398" s="1463"/>
      <c r="D398" s="1463"/>
      <c r="E398" s="1463"/>
      <c r="F398" s="1463"/>
      <c r="G398" s="1463"/>
      <c r="H398" s="3263" t="s">
        <v>2040</v>
      </c>
      <c r="I398" s="3263"/>
      <c r="J398" s="3263"/>
      <c r="K398" s="1463" t="s">
        <v>2041</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1487</v>
      </c>
      <c r="AN398" s="1446" t="s">
        <v>2042</v>
      </c>
      <c r="AO398" s="1463"/>
      <c r="AP398" s="1463"/>
      <c r="AQ398" s="1463"/>
      <c r="AR398" s="1463"/>
      <c r="AS398" s="1734">
        <f>$Y$128</f>
        <v>2</v>
      </c>
      <c r="AT398" s="1734">
        <f>$Y$128</f>
        <v>2</v>
      </c>
      <c r="AU398" s="1734">
        <f>$Y$128</f>
        <v>2</v>
      </c>
      <c r="AV398" s="1734">
        <f>$Y$128</f>
        <v>2</v>
      </c>
      <c r="AW398" s="1446" t="s">
        <v>2043</v>
      </c>
      <c r="AX398" s="1446"/>
      <c r="AY398" s="1454"/>
      <c r="AZ398" s="1454"/>
      <c r="BB398" s="1547" t="s">
        <v>1487</v>
      </c>
      <c r="BC398" s="1674" t="s">
        <v>2042</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c r="B399" s="1463"/>
      <c r="C399" s="1463"/>
      <c r="D399" s="1463"/>
      <c r="E399" s="1463"/>
      <c r="F399" s="1463"/>
      <c r="G399" s="1463"/>
      <c r="H399" s="1467" t="s">
        <v>2044</v>
      </c>
      <c r="I399" s="1463" t="s">
        <v>2045</v>
      </c>
      <c r="J399" s="1467" t="s">
        <v>2046</v>
      </c>
      <c r="K399" s="1463" t="s">
        <v>2047</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1489</v>
      </c>
      <c r="AN399" s="1446" t="s">
        <v>1980</v>
      </c>
      <c r="AO399" s="1463"/>
      <c r="AP399" s="1463"/>
      <c r="AQ399" s="1463"/>
      <c r="AR399" s="1463"/>
      <c r="AS399" s="1734">
        <f>$Y$136</f>
        <v>20</v>
      </c>
      <c r="AT399" s="1734">
        <f>$Y$136</f>
        <v>20</v>
      </c>
      <c r="AU399" s="1734"/>
      <c r="AV399" s="1734"/>
      <c r="AW399" s="1446" t="s">
        <v>2048</v>
      </c>
      <c r="AX399" s="1446"/>
      <c r="AY399" s="1454"/>
      <c r="AZ399" s="1454"/>
      <c r="BB399" s="1547" t="s">
        <v>1489</v>
      </c>
      <c r="BC399" s="1674" t="s">
        <v>1980</v>
      </c>
      <c r="BD399" s="1680"/>
      <c r="BE399" s="1680"/>
      <c r="BF399" s="1680"/>
      <c r="BG399" s="1680"/>
      <c r="BH399" s="1682">
        <f>$AA$136</f>
        <v>20</v>
      </c>
      <c r="BI399" s="1683">
        <f>$AA$136</f>
        <v>20</v>
      </c>
      <c r="BJ399" s="1691"/>
      <c r="BK399" s="1692"/>
      <c r="BL399" s="1686">
        <f>$AB$136</f>
        <v>0</v>
      </c>
      <c r="BM399" s="1687">
        <f>$AB$136</f>
        <v>0</v>
      </c>
      <c r="BN399" s="1693"/>
      <c r="BO399" s="1694"/>
    </row>
    <row r="400" spans="2:70">
      <c r="B400" s="1463"/>
      <c r="C400" s="1468"/>
      <c r="D400" s="1468"/>
      <c r="E400" s="1463"/>
      <c r="F400" s="1463"/>
      <c r="G400" s="1463"/>
      <c r="H400" s="1469" t="s">
        <v>2049</v>
      </c>
      <c r="I400" s="1463"/>
      <c r="J400" s="1469"/>
      <c r="K400" s="1463" t="s">
        <v>2050</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1495</v>
      </c>
      <c r="AN400" s="1446" t="s">
        <v>1981</v>
      </c>
      <c r="AO400" s="1463"/>
      <c r="AP400" s="1463"/>
      <c r="AQ400" s="1463"/>
      <c r="AR400" s="1463"/>
      <c r="AS400" s="1736">
        <f>$Y$145</f>
        <v>6</v>
      </c>
      <c r="AT400" s="1736">
        <f>$Y$145</f>
        <v>6</v>
      </c>
      <c r="AU400" s="1736"/>
      <c r="AV400" s="1736"/>
      <c r="AW400" s="1446" t="s">
        <v>2051</v>
      </c>
      <c r="AX400" s="1446"/>
      <c r="AY400" s="1454" t="s">
        <v>2052</v>
      </c>
      <c r="AZ400" s="1454" t="str">
        <f>IF('Part VII-Threshold Criteria'!$P$234="Agree","Yes","")</f>
        <v/>
      </c>
      <c r="BB400" s="1547" t="s">
        <v>1495</v>
      </c>
      <c r="BC400" s="1674" t="s">
        <v>1981</v>
      </c>
      <c r="BD400" s="1680"/>
      <c r="BE400" s="1680"/>
      <c r="BF400" s="1680"/>
      <c r="BG400" s="1680"/>
      <c r="BH400" s="1682">
        <f>$AA$145</f>
        <v>3</v>
      </c>
      <c r="BI400" s="1683">
        <f>$AA$145</f>
        <v>3</v>
      </c>
      <c r="BJ400" s="1691"/>
      <c r="BK400" s="1692"/>
      <c r="BL400" s="1686">
        <f>$AB$145</f>
        <v>0</v>
      </c>
      <c r="BM400" s="1687">
        <f>$AB$145</f>
        <v>0</v>
      </c>
      <c r="BN400" s="1693"/>
      <c r="BO400" s="1694"/>
    </row>
    <row r="401" spans="1:67">
      <c r="B401" s="1463"/>
      <c r="C401" s="1468"/>
      <c r="D401" s="1468"/>
      <c r="E401" s="1463"/>
      <c r="F401" s="1463"/>
      <c r="G401" s="1463"/>
      <c r="H401" s="1469" t="s">
        <v>2053</v>
      </c>
      <c r="I401" s="2568" t="s">
        <v>2054</v>
      </c>
      <c r="J401" s="1467" t="s">
        <v>1128</v>
      </c>
      <c r="K401" s="1463" t="s">
        <v>2055</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1500</v>
      </c>
      <c r="AN401" s="1446" t="s">
        <v>1982</v>
      </c>
      <c r="AO401" s="1463"/>
      <c r="AP401" s="1463"/>
      <c r="AQ401" s="1463"/>
      <c r="AR401" s="1463"/>
      <c r="AS401" s="1734">
        <f>$Y$166</f>
        <v>3</v>
      </c>
      <c r="AT401" s="1734">
        <f>$Y$166</f>
        <v>3</v>
      </c>
      <c r="AU401" s="1734"/>
      <c r="AV401" s="1734"/>
      <c r="AW401" s="1463"/>
      <c r="AX401" s="1446"/>
      <c r="AY401" s="1454" t="s">
        <v>2056</v>
      </c>
      <c r="AZ401" s="1454" t="str">
        <f>IF('Part VII-Threshold Criteria'!$P$237="Agree","Yes","")</f>
        <v/>
      </c>
      <c r="BB401" s="1547" t="s">
        <v>1500</v>
      </c>
      <c r="BC401" s="1674" t="s">
        <v>1982</v>
      </c>
      <c r="BD401" s="1680"/>
      <c r="BE401" s="1680"/>
      <c r="BF401" s="1680"/>
      <c r="BG401" s="1680"/>
      <c r="BH401" s="1682">
        <f>$AA$166</f>
        <v>1.5</v>
      </c>
      <c r="BI401" s="1683">
        <f>$AA$166</f>
        <v>1.5</v>
      </c>
      <c r="BJ401" s="1691"/>
      <c r="BK401" s="1692"/>
      <c r="BL401" s="1686">
        <f>$AB$166</f>
        <v>0</v>
      </c>
      <c r="BM401" s="1687">
        <f>$AB$166</f>
        <v>0</v>
      </c>
      <c r="BN401" s="1693"/>
      <c r="BO401" s="1694"/>
    </row>
    <row r="402" spans="1:67">
      <c r="B402" s="1463"/>
      <c r="C402" s="1468"/>
      <c r="D402" s="1468"/>
      <c r="E402" s="1463"/>
      <c r="F402" s="1463"/>
      <c r="G402" s="1463"/>
      <c r="H402" s="1469" t="s">
        <v>2057</v>
      </c>
      <c r="I402" s="2568">
        <v>2020</v>
      </c>
      <c r="J402" s="2568" t="s">
        <v>2058</v>
      </c>
      <c r="K402" s="1463" t="s">
        <v>2059</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1522</v>
      </c>
      <c r="AN402" s="1446" t="s">
        <v>1924</v>
      </c>
      <c r="AO402" s="1463"/>
      <c r="AP402" s="1463"/>
      <c r="AQ402" s="1463"/>
      <c r="AR402" s="1463"/>
      <c r="AS402" s="1734">
        <f>$Y$183</f>
        <v>10</v>
      </c>
      <c r="AT402" s="1734">
        <f>$Y$183</f>
        <v>10</v>
      </c>
      <c r="AU402" s="1734"/>
      <c r="AV402" s="1734"/>
      <c r="AW402" s="1446"/>
      <c r="AX402" s="1446"/>
      <c r="AY402" s="1454" t="s">
        <v>2060</v>
      </c>
      <c r="AZ402" s="1454" t="str">
        <f>IF('Part VII-Threshold Criteria'!$P$238="Agree","Yes","")</f>
        <v/>
      </c>
      <c r="BB402" s="1547" t="s">
        <v>1522</v>
      </c>
      <c r="BC402" s="1674" t="s">
        <v>1924</v>
      </c>
      <c r="BD402" s="1680"/>
      <c r="BE402" s="1680"/>
      <c r="BF402" s="1680"/>
      <c r="BG402" s="1680"/>
      <c r="BH402" s="1682">
        <f>$AA$183</f>
        <v>0</v>
      </c>
      <c r="BI402" s="1683">
        <f>$AA$183</f>
        <v>0</v>
      </c>
      <c r="BJ402" s="1691"/>
      <c r="BK402" s="1692"/>
      <c r="BL402" s="1686">
        <f>$AB$183</f>
        <v>0</v>
      </c>
      <c r="BM402" s="1687">
        <f>$AB$183</f>
        <v>0</v>
      </c>
      <c r="BN402" s="1693"/>
      <c r="BO402" s="1694"/>
    </row>
    <row r="403" spans="1:67">
      <c r="B403" s="1463"/>
      <c r="C403" s="1468"/>
      <c r="D403" s="1468"/>
      <c r="E403" s="1463"/>
      <c r="F403" s="1463"/>
      <c r="G403" s="1463"/>
      <c r="H403" s="1469" t="s">
        <v>2061</v>
      </c>
      <c r="I403" s="2568" t="s">
        <v>2062</v>
      </c>
      <c r="J403" s="1467" t="s">
        <v>1128</v>
      </c>
      <c r="K403" s="1463" t="s">
        <v>2063</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1520</v>
      </c>
      <c r="AN403" s="1446" t="s">
        <v>1925</v>
      </c>
      <c r="AO403" s="1463"/>
      <c r="AP403" s="1463"/>
      <c r="AQ403" s="1463"/>
      <c r="AR403" s="1463"/>
      <c r="AS403" s="1734">
        <f>$Y$215</f>
        <v>10</v>
      </c>
      <c r="AT403" s="1734">
        <f>$Y$215</f>
        <v>10</v>
      </c>
      <c r="AU403" s="1734"/>
      <c r="AV403" s="1734"/>
      <c r="AW403" s="1446"/>
      <c r="AX403" s="1446"/>
      <c r="AY403" s="1454" t="s">
        <v>2064</v>
      </c>
      <c r="AZ403" s="1454" t="str">
        <f>IF('Part VII-Threshold Criteria'!$P$239="Agree","Yes","")</f>
        <v/>
      </c>
      <c r="BB403" s="1547" t="s">
        <v>1520</v>
      </c>
      <c r="BC403" s="1674" t="s">
        <v>1925</v>
      </c>
      <c r="BD403" s="1680"/>
      <c r="BE403" s="1680"/>
      <c r="BF403" s="1680"/>
      <c r="BG403" s="1680"/>
      <c r="BH403" s="1675">
        <f>$AA$215</f>
        <v>0</v>
      </c>
      <c r="BI403" s="1681">
        <f>$AA$215</f>
        <v>0</v>
      </c>
      <c r="BJ403" s="1695"/>
      <c r="BK403" s="1696"/>
      <c r="BL403" s="1677">
        <f>$AB$215</f>
        <v>0</v>
      </c>
      <c r="BM403" s="1678">
        <f>$AB$215</f>
        <v>0</v>
      </c>
      <c r="BN403" s="1697"/>
      <c r="BO403" s="1698"/>
    </row>
    <row r="404" spans="1:67">
      <c r="B404" s="1463"/>
      <c r="C404" s="1468"/>
      <c r="D404" s="1468"/>
      <c r="E404" s="1463"/>
      <c r="F404" s="1463"/>
      <c r="G404" s="1463"/>
      <c r="H404" s="1469" t="s">
        <v>2065</v>
      </c>
      <c r="I404" s="2568">
        <v>2020</v>
      </c>
      <c r="J404" s="2568" t="s">
        <v>2058</v>
      </c>
      <c r="K404" s="1463" t="s">
        <v>2066</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1522</v>
      </c>
      <c r="AN404" s="1446" t="s">
        <v>1985</v>
      </c>
      <c r="AO404" s="1463"/>
      <c r="AP404" s="1463"/>
      <c r="AQ404" s="1463"/>
      <c r="AR404" s="1463"/>
      <c r="AS404" s="1734">
        <f>$Y$247</f>
        <v>13</v>
      </c>
      <c r="AT404" s="1734">
        <f>$Y$247</f>
        <v>13</v>
      </c>
      <c r="AU404" s="1734"/>
      <c r="AV404" s="1734"/>
      <c r="AW404" s="1446" t="s">
        <v>2067</v>
      </c>
      <c r="AX404" s="1446"/>
      <c r="AY404" s="1454"/>
      <c r="AZ404" s="1454"/>
      <c r="BB404" s="1547" t="s">
        <v>1522</v>
      </c>
      <c r="BC404" s="1674" t="s">
        <v>1985</v>
      </c>
      <c r="BD404" s="1680"/>
      <c r="BE404" s="1680"/>
      <c r="BF404" s="1680"/>
      <c r="BG404" s="1680"/>
      <c r="BH404" s="1675">
        <f>$AA$247</f>
        <v>0</v>
      </c>
      <c r="BI404" s="1681">
        <f>$AA$247</f>
        <v>0</v>
      </c>
      <c r="BJ404" s="1695"/>
      <c r="BK404" s="1696"/>
      <c r="BL404" s="1677">
        <f>$AB$247</f>
        <v>0</v>
      </c>
      <c r="BM404" s="1678">
        <f>$AB$247</f>
        <v>0</v>
      </c>
      <c r="BN404" s="1697"/>
      <c r="BO404" s="1698"/>
    </row>
    <row r="405" spans="1:67">
      <c r="B405" s="1463"/>
      <c r="C405" s="1468"/>
      <c r="D405" s="1468"/>
      <c r="E405" s="1463"/>
      <c r="F405" s="1463"/>
      <c r="G405" s="1463"/>
      <c r="H405" s="1469" t="s">
        <v>2068</v>
      </c>
      <c r="I405" s="2568">
        <v>2019</v>
      </c>
      <c r="J405" s="2568" t="s">
        <v>2058</v>
      </c>
      <c r="K405" s="1463" t="s">
        <v>2069</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1528</v>
      </c>
      <c r="AN405" s="1446" t="s">
        <v>2070</v>
      </c>
      <c r="AO405" s="1463"/>
      <c r="AP405" s="1463"/>
      <c r="AQ405" s="1463"/>
      <c r="AR405" s="1463"/>
      <c r="AS405" s="1734">
        <f>$Y$256</f>
        <v>4</v>
      </c>
      <c r="AT405" s="1734">
        <f>$Y$256</f>
        <v>4</v>
      </c>
      <c r="AU405" s="1734"/>
      <c r="AV405" s="1734"/>
      <c r="AW405" s="1446" t="s">
        <v>2071</v>
      </c>
      <c r="AX405" s="1446"/>
      <c r="AY405" s="1454"/>
      <c r="AZ405" s="1454"/>
      <c r="BB405" s="1547" t="s">
        <v>1528</v>
      </c>
      <c r="BC405" s="1674" t="s">
        <v>2070</v>
      </c>
      <c r="BD405" s="1680"/>
      <c r="BE405" s="1680"/>
      <c r="BF405" s="1680"/>
      <c r="BG405" s="1680"/>
      <c r="BH405" s="1675">
        <f>$AA$256</f>
        <v>4</v>
      </c>
      <c r="BI405" s="1681">
        <f>$AA$256</f>
        <v>4</v>
      </c>
      <c r="BJ405" s="1695"/>
      <c r="BK405" s="1696"/>
      <c r="BL405" s="1677">
        <f>$AB$256</f>
        <v>0</v>
      </c>
      <c r="BM405" s="1678">
        <f>$AB$256</f>
        <v>0</v>
      </c>
      <c r="BN405" s="1697"/>
      <c r="BO405" s="1698"/>
    </row>
    <row r="406" spans="1:67">
      <c r="B406" s="1463"/>
      <c r="C406" s="1468"/>
      <c r="D406" s="1468"/>
      <c r="E406" s="1463"/>
      <c r="F406" s="1463"/>
      <c r="G406" s="1463"/>
      <c r="H406" s="1469" t="s">
        <v>2072</v>
      </c>
      <c r="I406" s="2568" t="s">
        <v>2062</v>
      </c>
      <c r="J406" s="1467" t="s">
        <v>1128</v>
      </c>
      <c r="K406" s="1463" t="s">
        <v>2073</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1548</v>
      </c>
      <c r="AN406" s="1446" t="s">
        <v>2074</v>
      </c>
      <c r="AO406" s="1463"/>
      <c r="AP406" s="1463"/>
      <c r="AQ406" s="1463"/>
      <c r="AR406" s="1463"/>
      <c r="AS406" s="1734">
        <f>$Y$268</f>
        <v>5</v>
      </c>
      <c r="AT406" s="1734"/>
      <c r="AU406" s="1734"/>
      <c r="AV406" s="1734"/>
      <c r="AW406" s="1446" t="s">
        <v>2075</v>
      </c>
      <c r="AX406" s="1446"/>
      <c r="AY406" s="1454"/>
      <c r="AZ406" s="2567">
        <f>'Part II-Sources of Funds'!$L$16</f>
        <v>0</v>
      </c>
      <c r="BB406" s="1547" t="s">
        <v>1548</v>
      </c>
      <c r="BC406" s="1674" t="s">
        <v>2074</v>
      </c>
      <c r="BD406" s="1680"/>
      <c r="BE406" s="1680"/>
      <c r="BF406" s="1680"/>
      <c r="BG406" s="1680"/>
      <c r="BH406" s="1675">
        <f>$AA$268</f>
        <v>0</v>
      </c>
      <c r="BI406" s="1699"/>
      <c r="BJ406" s="1700"/>
      <c r="BK406" s="1696"/>
      <c r="BL406" s="1677">
        <f>$AB$268</f>
        <v>0</v>
      </c>
      <c r="BM406" s="1701"/>
      <c r="BN406" s="1702"/>
      <c r="BO406" s="1698"/>
    </row>
    <row r="407" spans="1:67">
      <c r="B407" s="1463"/>
      <c r="C407" s="1468"/>
      <c r="D407" s="1468"/>
      <c r="E407" s="1463"/>
      <c r="F407" s="1463"/>
      <c r="G407" s="1463"/>
      <c r="H407" s="1469" t="s">
        <v>2076</v>
      </c>
      <c r="I407" s="2568">
        <v>2020</v>
      </c>
      <c r="J407" s="2568" t="s">
        <v>2058</v>
      </c>
      <c r="K407" s="1463" t="s">
        <v>2077</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1557</v>
      </c>
      <c r="AN407" s="1463" t="s">
        <v>2078</v>
      </c>
      <c r="AO407" s="1463"/>
      <c r="AP407" s="1463"/>
      <c r="AQ407" s="1463"/>
      <c r="AR407" s="1463"/>
      <c r="AS407" s="1734">
        <f>$Y$233</f>
        <v>10</v>
      </c>
      <c r="AT407" s="1734"/>
      <c r="AU407" s="1734"/>
      <c r="AV407" s="1734"/>
      <c r="AW407" s="1463"/>
      <c r="AX407" s="1463"/>
      <c r="AY407" s="2568"/>
      <c r="AZ407" s="1463"/>
      <c r="BB407" s="1547" t="s">
        <v>1557</v>
      </c>
      <c r="BC407" s="1674" t="s">
        <v>2078</v>
      </c>
      <c r="BD407" s="1680"/>
      <c r="BE407" s="1680"/>
      <c r="BF407" s="1680"/>
      <c r="BG407" s="1680"/>
      <c r="BH407" s="1675">
        <f>$AA$233</f>
        <v>10</v>
      </c>
      <c r="BI407" s="1699"/>
      <c r="BJ407" s="1700"/>
      <c r="BK407" s="1696"/>
      <c r="BL407" s="1677">
        <f>$AB$233</f>
        <v>0</v>
      </c>
      <c r="BM407" s="1701"/>
      <c r="BN407" s="1702"/>
      <c r="BO407" s="1698"/>
    </row>
    <row r="408" spans="1:67">
      <c r="B408" s="1463"/>
      <c r="C408" s="1468"/>
      <c r="D408" s="1468"/>
      <c r="E408" s="1463"/>
      <c r="F408" s="1463"/>
      <c r="G408" s="1463"/>
      <c r="H408" s="1469" t="s">
        <v>2079</v>
      </c>
      <c r="I408" s="2568" t="s">
        <v>2054</v>
      </c>
      <c r="J408" s="1467" t="s">
        <v>1128</v>
      </c>
      <c r="K408" s="1463" t="s">
        <v>2080</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1565</v>
      </c>
      <c r="AN408" s="1463" t="s">
        <v>2081</v>
      </c>
      <c r="AO408" s="1463"/>
      <c r="AP408" s="1463"/>
      <c r="AQ408" s="1463"/>
      <c r="AR408" s="1463"/>
      <c r="AS408" s="1734">
        <f>$Y$283</f>
        <v>1</v>
      </c>
      <c r="AT408" s="1734"/>
      <c r="AU408" s="1734"/>
      <c r="AV408" s="1734"/>
      <c r="AW408" s="1463"/>
      <c r="AX408" s="1463"/>
      <c r="AY408" s="2568"/>
      <c r="AZ408" s="1463"/>
      <c r="BB408" s="1547" t="s">
        <v>1565</v>
      </c>
      <c r="BC408" s="1674" t="s">
        <v>2081</v>
      </c>
      <c r="BD408" s="1680"/>
      <c r="BE408" s="1680"/>
      <c r="BF408" s="1680"/>
      <c r="BG408" s="1680"/>
      <c r="BH408" s="1675">
        <f>$AA$283</f>
        <v>1</v>
      </c>
      <c r="BI408" s="1703"/>
      <c r="BJ408" s="1695"/>
      <c r="BK408" s="1696"/>
      <c r="BL408" s="1677">
        <f>$AB$283</f>
        <v>0</v>
      </c>
      <c r="BM408" s="1698"/>
      <c r="BN408" s="1697"/>
      <c r="BO408" s="1698"/>
    </row>
    <row r="409" spans="1:67">
      <c r="A409" s="1463"/>
      <c r="B409" s="1463"/>
      <c r="C409" s="1463"/>
      <c r="D409" s="1463"/>
      <c r="E409" s="1463"/>
      <c r="F409" s="1463"/>
      <c r="G409" s="1463"/>
      <c r="H409" s="1469" t="s">
        <v>2082</v>
      </c>
      <c r="I409" s="2568" t="s">
        <v>2054</v>
      </c>
      <c r="J409" s="1467" t="s">
        <v>1128</v>
      </c>
      <c r="K409" s="1463" t="s">
        <v>2083</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1577</v>
      </c>
      <c r="AN409" s="1446" t="s">
        <v>2084</v>
      </c>
      <c r="AO409" s="1463"/>
      <c r="AP409" s="1463"/>
      <c r="AQ409" s="1463"/>
      <c r="AR409" s="1463"/>
      <c r="AS409" s="1734">
        <f>$Y$297</f>
        <v>1</v>
      </c>
      <c r="AT409" s="1734"/>
      <c r="AU409" s="1734"/>
      <c r="AV409" s="1734"/>
      <c r="AW409" s="1463"/>
      <c r="AX409" s="1463"/>
      <c r="AY409" s="2568"/>
      <c r="AZ409" s="1463"/>
      <c r="BB409" s="1547" t="s">
        <v>1577</v>
      </c>
      <c r="BC409" s="1674" t="s">
        <v>2084</v>
      </c>
      <c r="BD409" s="1680"/>
      <c r="BE409" s="1680"/>
      <c r="BF409" s="1680"/>
      <c r="BG409" s="1680"/>
      <c r="BH409" s="1675">
        <f>$AA$297</f>
        <v>1</v>
      </c>
      <c r="BI409" s="1703"/>
      <c r="BJ409" s="1695"/>
      <c r="BK409" s="1696"/>
      <c r="BL409" s="1677">
        <f>$AB$297</f>
        <v>0</v>
      </c>
      <c r="BM409" s="1698"/>
      <c r="BN409" s="1697"/>
      <c r="BO409" s="1698"/>
    </row>
    <row r="410" spans="1:67">
      <c r="A410" s="1463"/>
      <c r="B410" s="1463"/>
      <c r="C410" s="1463"/>
      <c r="D410" s="1463"/>
      <c r="E410" s="1463"/>
      <c r="F410" s="1463"/>
      <c r="G410" s="1463"/>
      <c r="H410" s="1469" t="s">
        <v>2085</v>
      </c>
      <c r="I410" s="2568">
        <v>2019</v>
      </c>
      <c r="J410" s="2568" t="s">
        <v>2058</v>
      </c>
      <c r="K410" s="1463" t="s">
        <v>2086</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1582</v>
      </c>
      <c r="AN410" s="1446" t="s">
        <v>2087</v>
      </c>
      <c r="AO410" s="1463"/>
      <c r="AP410" s="1463"/>
      <c r="AQ410" s="1463"/>
      <c r="AR410" s="1463"/>
      <c r="AS410" s="1734">
        <f>$Y$305</f>
        <v>2</v>
      </c>
      <c r="AT410" s="1734"/>
      <c r="AU410" s="1734"/>
      <c r="AV410" s="1734"/>
      <c r="AW410" s="1463"/>
      <c r="AX410" s="1463"/>
      <c r="AY410" s="2568"/>
      <c r="AZ410" s="1463"/>
      <c r="BB410" s="1547" t="s">
        <v>1582</v>
      </c>
      <c r="BC410" s="1674" t="s">
        <v>2087</v>
      </c>
      <c r="BD410" s="1680"/>
      <c r="BE410" s="1680"/>
      <c r="BF410" s="1680"/>
      <c r="BG410" s="1680"/>
      <c r="BH410" s="1675">
        <f>$AA$305</f>
        <v>0</v>
      </c>
      <c r="BI410" s="1703"/>
      <c r="BJ410" s="1695"/>
      <c r="BK410" s="1696"/>
      <c r="BL410" s="1677">
        <f>$AB$305</f>
        <v>0</v>
      </c>
      <c r="BM410" s="1698"/>
      <c r="BN410" s="1697"/>
      <c r="BO410" s="1698"/>
    </row>
    <row r="411" spans="1:67">
      <c r="A411" s="1463" t="s">
        <v>2088</v>
      </c>
      <c r="B411" s="1463"/>
      <c r="C411" s="1463"/>
      <c r="D411" s="1463"/>
      <c r="E411" s="1463"/>
      <c r="F411" s="1463"/>
      <c r="G411" s="1463"/>
      <c r="H411" s="1469" t="s">
        <v>2089</v>
      </c>
      <c r="I411" s="2568" t="s">
        <v>2054</v>
      </c>
      <c r="J411" s="1467" t="s">
        <v>1128</v>
      </c>
      <c r="K411" s="1463" t="s">
        <v>2090</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1587</v>
      </c>
      <c r="AN411" s="1446" t="s">
        <v>2091</v>
      </c>
      <c r="AO411" s="1463"/>
      <c r="AP411" s="1463"/>
      <c r="AQ411" s="1463"/>
      <c r="AR411" s="1463"/>
      <c r="AS411" s="1734">
        <f>$Y$316</f>
        <v>2</v>
      </c>
      <c r="AT411" s="1734"/>
      <c r="AU411" s="1735">
        <f>$Y$316</f>
        <v>2</v>
      </c>
      <c r="AV411" s="1734"/>
      <c r="AW411" s="1463"/>
      <c r="AX411" s="1463"/>
      <c r="AY411" s="2568"/>
      <c r="AZ411" s="1463"/>
      <c r="BB411" s="1547" t="s">
        <v>1587</v>
      </c>
      <c r="BC411" s="1674" t="s">
        <v>2091</v>
      </c>
      <c r="BD411" s="1680"/>
      <c r="BE411" s="1680"/>
      <c r="BF411" s="1680"/>
      <c r="BG411" s="1680"/>
      <c r="BH411" s="1675">
        <f>$AA$316</f>
        <v>2</v>
      </c>
      <c r="BI411" s="1703"/>
      <c r="BJ411" s="1675">
        <f>$AA$316</f>
        <v>2</v>
      </c>
      <c r="BK411" s="1696"/>
      <c r="BL411" s="1677">
        <f>$AB$316</f>
        <v>0</v>
      </c>
      <c r="BM411" s="1698"/>
      <c r="BN411" s="1679">
        <f>$AB$316</f>
        <v>0</v>
      </c>
      <c r="BO411" s="1698"/>
    </row>
    <row r="412" spans="1:67">
      <c r="A412" s="1463" t="s">
        <v>2092</v>
      </c>
      <c r="B412" s="1463"/>
      <c r="C412" s="1463"/>
      <c r="D412" s="1463"/>
      <c r="E412" s="1463"/>
      <c r="F412" s="1463"/>
      <c r="G412" s="1463"/>
      <c r="H412" s="1469" t="s">
        <v>2093</v>
      </c>
      <c r="I412" s="2568">
        <v>2019</v>
      </c>
      <c r="J412" s="2568" t="s">
        <v>2058</v>
      </c>
      <c r="K412" s="1463" t="s">
        <v>2094</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1593</v>
      </c>
      <c r="AN412" s="1446" t="s">
        <v>2095</v>
      </c>
      <c r="AO412" s="1463"/>
      <c r="AP412" s="1463"/>
      <c r="AQ412" s="1463"/>
      <c r="AR412" s="1463"/>
      <c r="AS412" s="1734">
        <f>$Y$325</f>
        <v>2.5</v>
      </c>
      <c r="AT412" s="1734"/>
      <c r="AU412" s="1735">
        <f>$Y$325</f>
        <v>2.5</v>
      </c>
      <c r="AV412" s="1734"/>
      <c r="AW412" s="1463"/>
      <c r="AX412" s="1463"/>
      <c r="AY412" s="2568"/>
      <c r="AZ412" s="1463"/>
      <c r="BB412" s="1547" t="s">
        <v>1593</v>
      </c>
      <c r="BC412" s="1674" t="s">
        <v>2095</v>
      </c>
      <c r="BD412" s="1680"/>
      <c r="BE412" s="1680"/>
      <c r="BF412" s="1680"/>
      <c r="BG412" s="1680"/>
      <c r="BH412" s="1675">
        <f>$AA$325</f>
        <v>0</v>
      </c>
      <c r="BI412" s="1703"/>
      <c r="BJ412" s="1675">
        <f>$AA$325</f>
        <v>0</v>
      </c>
      <c r="BK412" s="1696"/>
      <c r="BL412" s="1677">
        <f>$AB$325</f>
        <v>0</v>
      </c>
      <c r="BM412" s="1698"/>
      <c r="BN412" s="1679">
        <f>$AB$325</f>
        <v>0</v>
      </c>
      <c r="BO412" s="1698"/>
    </row>
    <row r="413" spans="1:67">
      <c r="A413" s="1468" t="s">
        <v>2096</v>
      </c>
      <c r="B413" s="1463"/>
      <c r="C413" s="1463"/>
      <c r="D413" s="1463"/>
      <c r="E413" s="1468"/>
      <c r="F413" s="1468">
        <v>3</v>
      </c>
      <c r="G413" s="1463"/>
      <c r="H413" s="1469" t="s">
        <v>2097</v>
      </c>
      <c r="I413" s="2568">
        <v>2019</v>
      </c>
      <c r="J413" s="2568" t="s">
        <v>2058</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1597</v>
      </c>
      <c r="AN413" s="1463" t="s">
        <v>2098</v>
      </c>
      <c r="AO413" s="1463"/>
      <c r="AP413" s="1463"/>
      <c r="AQ413" s="1463"/>
      <c r="AR413" s="1463"/>
      <c r="AS413" s="1734"/>
      <c r="AT413" s="1734"/>
      <c r="AU413" s="1734">
        <f>$Y$334</f>
        <v>0</v>
      </c>
      <c r="AV413" s="1734">
        <f>$Y$334</f>
        <v>0</v>
      </c>
      <c r="AW413" s="1463"/>
      <c r="AX413" s="1463"/>
      <c r="AY413" s="2568"/>
      <c r="AZ413" s="1463"/>
      <c r="BB413" s="1547" t="s">
        <v>1597</v>
      </c>
      <c r="BC413" s="1674" t="s">
        <v>2098</v>
      </c>
      <c r="BD413" s="1680"/>
      <c r="BE413" s="1680"/>
      <c r="BF413" s="1680"/>
      <c r="BG413" s="1680"/>
      <c r="BH413" s="1700"/>
      <c r="BI413" s="1699"/>
      <c r="BJ413" s="1675">
        <f>$AA$334</f>
        <v>0</v>
      </c>
      <c r="BK413" s="1676">
        <f>$AA$334</f>
        <v>0</v>
      </c>
      <c r="BL413" s="1704"/>
      <c r="BM413" s="1701"/>
      <c r="BN413" s="1679">
        <f>$AB$334</f>
        <v>0</v>
      </c>
      <c r="BO413" s="1678">
        <f>$AB$334</f>
        <v>0</v>
      </c>
    </row>
    <row r="414" spans="1:67">
      <c r="A414" s="1468" t="s">
        <v>2099</v>
      </c>
      <c r="B414" s="1463"/>
      <c r="C414" s="1463"/>
      <c r="D414" s="1463"/>
      <c r="E414" s="1468"/>
      <c r="F414" s="1468">
        <v>2</v>
      </c>
      <c r="G414" s="1463"/>
      <c r="H414" s="1469" t="s">
        <v>134</v>
      </c>
      <c r="I414" s="2568">
        <v>2019</v>
      </c>
      <c r="J414" s="2568" t="s">
        <v>2058</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c r="A415" s="1468" t="s">
        <v>2100</v>
      </c>
      <c r="B415" s="1463"/>
      <c r="C415" s="1463"/>
      <c r="D415" s="1463"/>
      <c r="E415" s="1468"/>
      <c r="F415" s="1468">
        <v>10</v>
      </c>
      <c r="G415" s="1463"/>
      <c r="H415" s="1469" t="s">
        <v>2101</v>
      </c>
      <c r="I415" s="2568">
        <v>2019</v>
      </c>
      <c r="J415" s="2568" t="s">
        <v>2058</v>
      </c>
      <c r="K415" s="1470" t="s">
        <v>2102</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c r="A416" s="1468" t="s">
        <v>2103</v>
      </c>
      <c r="B416" s="1463"/>
      <c r="C416" s="1463"/>
      <c r="D416" s="1463"/>
      <c r="E416" s="1468"/>
      <c r="F416" s="1468"/>
      <c r="G416" s="1463"/>
      <c r="H416" s="1469" t="s">
        <v>2104</v>
      </c>
      <c r="I416" s="2568">
        <v>2019</v>
      </c>
      <c r="J416" s="2568" t="s">
        <v>2058</v>
      </c>
      <c r="K416" s="1463" t="s">
        <v>1527</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2105</v>
      </c>
      <c r="AQ416" s="1446"/>
      <c r="AR416" s="1446"/>
      <c r="AS416" s="1738"/>
      <c r="AT416" s="1739">
        <f>IF(AND($C$16="4%",($D$12-$C$12)&gt;0),(SUM(AT390:AT414)-($D$12-$C$12)),SUM(AT390:AT414))</f>
        <v>112</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81.5</v>
      </c>
      <c r="BI416" s="1716">
        <f>IF(AND($C$16="4%",($D$12-$C$12)&gt;0),(SUM(BI390:BI414)-($D$12-$C$12)),SUM(BI390:BI414))</f>
        <v>67.5</v>
      </c>
      <c r="BJ416" s="1716">
        <f>IF(AND($C$16="4%",($D$12-$C$12)&gt;0),(SUM(BJ390:BJ414)-($D$12-$C$12)),SUM(BJ390:BJ414))</f>
        <v>41</v>
      </c>
      <c r="BK416" s="1716">
        <f>SUM(BK390:BK414)</f>
        <v>39</v>
      </c>
      <c r="BL416" s="1717">
        <f>SUM(BL390:BL414)</f>
        <v>12</v>
      </c>
      <c r="BM416" s="1717">
        <f>IF(AND($C$16="4%",($E$12-$C$12)&gt;0),(SUM(BM390:BM414)-($E$12-$C$12)),SUM(BM390:BM414))</f>
        <v>12</v>
      </c>
      <c r="BN416" s="1717">
        <f>IF(AND($C$16="4%",($E$12-$C$12)&gt;0),(SUM(BN390:BN414)-($E$12-$C$12)),SUM(BN390:BN414))</f>
        <v>12</v>
      </c>
      <c r="BO416" s="1717">
        <f>SUM(BO390:BO414)</f>
        <v>12</v>
      </c>
    </row>
    <row r="417" spans="2:52">
      <c r="B417" s="1463"/>
      <c r="C417" s="1468"/>
      <c r="D417" s="1468"/>
      <c r="E417" s="1463"/>
      <c r="F417" s="1463"/>
      <c r="G417" s="1463"/>
      <c r="H417" s="1469" t="s">
        <v>2106</v>
      </c>
      <c r="I417" s="2568">
        <v>2020</v>
      </c>
      <c r="J417" s="2568" t="s">
        <v>2058</v>
      </c>
      <c r="K417" s="1463" t="s">
        <v>2107</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c r="B418" s="1463"/>
      <c r="C418" s="1468"/>
      <c r="D418" s="1468"/>
      <c r="E418" s="1463"/>
      <c r="F418" s="1463"/>
      <c r="G418" s="1463"/>
      <c r="H418" s="1469" t="s">
        <v>2108</v>
      </c>
      <c r="I418" s="2568">
        <v>2020</v>
      </c>
      <c r="J418" s="2568" t="s">
        <v>2058</v>
      </c>
      <c r="K418" s="1463" t="s">
        <v>1709</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c r="B419" s="1463"/>
      <c r="C419" s="1468"/>
      <c r="D419" s="1468"/>
      <c r="E419" s="1463"/>
      <c r="F419" s="1463"/>
      <c r="G419" s="1463"/>
      <c r="H419" s="1469" t="s">
        <v>2109</v>
      </c>
      <c r="I419" s="2568" t="s">
        <v>2054</v>
      </c>
      <c r="J419" s="1467" t="s">
        <v>1128</v>
      </c>
      <c r="K419" s="1463" t="s">
        <v>2110</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c r="B420" s="1463"/>
      <c r="C420" s="1468"/>
      <c r="D420" s="1468"/>
      <c r="E420" s="1463"/>
      <c r="F420" s="1463"/>
      <c r="G420" s="1463"/>
      <c r="H420" s="1469" t="s">
        <v>2111</v>
      </c>
      <c r="I420" s="2568">
        <v>2019</v>
      </c>
      <c r="J420" s="2568" t="s">
        <v>2058</v>
      </c>
      <c r="K420" s="1463" t="s">
        <v>1711</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c r="B421" s="1463"/>
      <c r="C421" s="1463"/>
      <c r="D421" s="1463"/>
      <c r="E421" s="1463"/>
      <c r="F421" s="1463"/>
      <c r="G421" s="1463"/>
      <c r="H421" s="1469" t="s">
        <v>2112</v>
      </c>
      <c r="I421" s="2568">
        <v>2019</v>
      </c>
      <c r="J421" s="2568" t="s">
        <v>2058</v>
      </c>
      <c r="K421" s="1463" t="s">
        <v>2113</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c r="B422" s="1463"/>
      <c r="C422" s="1463"/>
      <c r="D422" s="1463"/>
      <c r="E422" s="1463"/>
      <c r="F422" s="1463"/>
      <c r="G422" s="1463"/>
      <c r="H422" s="1469" t="s">
        <v>2114</v>
      </c>
      <c r="I422" s="2568">
        <v>2019</v>
      </c>
      <c r="J422" s="2568" t="s">
        <v>2058</v>
      </c>
      <c r="K422" s="1463" t="s">
        <v>1713</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1923</v>
      </c>
      <c r="AO422" s="1643"/>
      <c r="AP422" s="1643"/>
      <c r="AQ422" s="1644"/>
      <c r="AR422" s="1644"/>
      <c r="AS422" s="1644"/>
      <c r="AT422" s="1644"/>
      <c r="AU422" s="1645" t="s">
        <v>1730</v>
      </c>
      <c r="AV422" s="1646" t="s">
        <v>1724</v>
      </c>
      <c r="AW422" s="1647"/>
    </row>
    <row r="423" spans="2:52">
      <c r="B423" s="1463"/>
      <c r="C423" s="1463"/>
      <c r="D423" s="1463"/>
      <c r="E423" s="1463"/>
      <c r="F423" s="1463"/>
      <c r="G423" s="1463"/>
      <c r="H423" s="1469" t="s">
        <v>2115</v>
      </c>
      <c r="I423" s="2568" t="s">
        <v>2054</v>
      </c>
      <c r="J423" s="1467" t="s">
        <v>1128</v>
      </c>
      <c r="K423" s="1463" t="s">
        <v>2116</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1924</v>
      </c>
      <c r="AP423" s="1535"/>
      <c r="AQ423" s="1515"/>
      <c r="AR423" s="1515"/>
      <c r="AS423" s="1515"/>
      <c r="AT423" s="1515"/>
      <c r="AU423" s="2564">
        <f>$AA$183</f>
        <v>0</v>
      </c>
      <c r="AV423" s="1649">
        <f>$AB$183</f>
        <v>0</v>
      </c>
      <c r="AW423" s="1650"/>
    </row>
    <row r="424" spans="2:52">
      <c r="B424" s="1463"/>
      <c r="C424" s="1463"/>
      <c r="D424" s="1463"/>
      <c r="E424" s="1463"/>
      <c r="F424" s="1463"/>
      <c r="G424" s="1463"/>
      <c r="H424" s="1469" t="s">
        <v>2117</v>
      </c>
      <c r="I424" s="2568">
        <v>2020</v>
      </c>
      <c r="J424" s="2568" t="s">
        <v>2058</v>
      </c>
      <c r="K424" s="1463" t="s">
        <v>1715</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1925</v>
      </c>
      <c r="AP424" s="1535"/>
      <c r="AQ424" s="1515"/>
      <c r="AR424" s="1515"/>
      <c r="AS424" s="1515"/>
      <c r="AT424" s="1515"/>
      <c r="AU424" s="1651">
        <f>$AA$215</f>
        <v>0</v>
      </c>
      <c r="AV424" s="1652">
        <f>$AB$215</f>
        <v>0</v>
      </c>
      <c r="AW424" s="1650"/>
    </row>
    <row r="425" spans="2:52">
      <c r="B425" s="1463"/>
      <c r="C425" s="1463"/>
      <c r="D425" s="1463"/>
      <c r="E425" s="1463"/>
      <c r="F425" s="1463"/>
      <c r="G425" s="1463"/>
      <c r="H425" s="1469" t="s">
        <v>2118</v>
      </c>
      <c r="I425" s="2568">
        <v>2020</v>
      </c>
      <c r="J425" s="2568" t="s">
        <v>2058</v>
      </c>
      <c r="K425" s="1463" t="s">
        <v>2119</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1985</v>
      </c>
      <c r="AP425" s="1535"/>
      <c r="AQ425" s="1515"/>
      <c r="AR425" s="1515"/>
      <c r="AS425" s="1515"/>
      <c r="AT425" s="1515"/>
      <c r="AU425" s="1651">
        <f>$AA$247</f>
        <v>0</v>
      </c>
      <c r="AV425" s="1652">
        <f>$AB$247</f>
        <v>0</v>
      </c>
      <c r="AW425" s="1650"/>
    </row>
    <row r="426" spans="2:52">
      <c r="B426" s="1463"/>
      <c r="C426" s="1463"/>
      <c r="D426" s="1463"/>
      <c r="E426" s="1471"/>
      <c r="F426" s="1463"/>
      <c r="G426" s="1463"/>
      <c r="H426" s="1469" t="s">
        <v>2120</v>
      </c>
      <c r="I426" s="2568" t="s">
        <v>2054</v>
      </c>
      <c r="J426" s="1467" t="s">
        <v>1128</v>
      </c>
      <c r="K426" s="1463" t="s">
        <v>2121</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2078</v>
      </c>
      <c r="AP426" s="1535"/>
      <c r="AQ426" s="1515"/>
      <c r="AR426" s="1515"/>
      <c r="AS426" s="1515"/>
      <c r="AT426" s="1515"/>
      <c r="AU426" s="1651">
        <f>$AA$233</f>
        <v>10</v>
      </c>
      <c r="AV426" s="1652">
        <f>$AB$233</f>
        <v>0</v>
      </c>
      <c r="AW426" s="1650"/>
    </row>
    <row r="427" spans="2:52">
      <c r="B427" s="1463"/>
      <c r="C427" s="1463"/>
      <c r="D427" s="1463"/>
      <c r="E427" s="1471"/>
      <c r="F427" s="1463"/>
      <c r="G427" s="1463"/>
      <c r="H427" s="1469" t="s">
        <v>2122</v>
      </c>
      <c r="I427" s="2568" t="s">
        <v>2054</v>
      </c>
      <c r="J427" s="1467" t="s">
        <v>1128</v>
      </c>
      <c r="K427" s="1463" t="s">
        <v>2123</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4.25">
      <c r="B428" s="1463"/>
      <c r="C428" s="1463"/>
      <c r="D428" s="1463"/>
      <c r="E428" s="1463"/>
      <c r="F428" s="1463"/>
      <c r="G428" s="1463"/>
      <c r="H428" s="1469" t="s">
        <v>2124</v>
      </c>
      <c r="I428" s="2568">
        <v>2020</v>
      </c>
      <c r="J428" s="2568" t="s">
        <v>2058</v>
      </c>
      <c r="K428" s="1463" t="s">
        <v>2125</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4.25">
      <c r="B429" s="1463"/>
      <c r="C429" s="1463"/>
      <c r="D429" s="1463"/>
      <c r="E429" s="1463"/>
      <c r="F429" s="1463"/>
      <c r="G429" s="1463"/>
      <c r="H429" s="1469" t="s">
        <v>2126</v>
      </c>
      <c r="I429" s="2568">
        <v>2019</v>
      </c>
      <c r="J429" s="2568" t="s">
        <v>2058</v>
      </c>
      <c r="K429" s="1463" t="s">
        <v>2127</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4.25">
      <c r="B430" s="1463"/>
      <c r="C430" s="1463"/>
      <c r="D430" s="1463"/>
      <c r="E430" s="1463"/>
      <c r="F430" s="1463"/>
      <c r="G430" s="1463"/>
      <c r="H430" s="1469" t="s">
        <v>2128</v>
      </c>
      <c r="I430" s="2568">
        <v>2019</v>
      </c>
      <c r="J430" s="2568" t="s">
        <v>2058</v>
      </c>
      <c r="K430" s="1463" t="s">
        <v>2129</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4.25">
      <c r="B431" s="1463"/>
      <c r="C431" s="1463"/>
      <c r="D431" s="1463"/>
      <c r="E431" s="1463"/>
      <c r="F431" s="1463"/>
      <c r="G431" s="1463"/>
      <c r="H431" s="1469" t="s">
        <v>2130</v>
      </c>
      <c r="I431" s="2568">
        <v>2020</v>
      </c>
      <c r="J431" s="2568" t="s">
        <v>2058</v>
      </c>
      <c r="K431" s="1463" t="s">
        <v>2131</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4.25">
      <c r="B432" s="1463"/>
      <c r="C432" s="1471"/>
      <c r="D432" s="1471"/>
      <c r="E432" s="1463"/>
      <c r="F432" s="1463"/>
      <c r="G432" s="1463"/>
      <c r="H432" s="1469" t="s">
        <v>2132</v>
      </c>
      <c r="I432" s="2568">
        <v>2020</v>
      </c>
      <c r="J432" s="2568" t="s">
        <v>2058</v>
      </c>
      <c r="K432" s="1463" t="s">
        <v>2133</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4.25">
      <c r="B433" s="1463"/>
      <c r="C433" s="1471"/>
      <c r="D433" s="1471"/>
      <c r="E433" s="1463"/>
      <c r="F433" s="1463"/>
      <c r="G433" s="1463"/>
      <c r="H433" s="1469" t="s">
        <v>2134</v>
      </c>
      <c r="I433" s="2568" t="s">
        <v>2054</v>
      </c>
      <c r="J433" s="1467" t="s">
        <v>1128</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4.25">
      <c r="B434" s="1463"/>
      <c r="C434" s="1471"/>
      <c r="D434" s="1471"/>
      <c r="E434" s="1463"/>
      <c r="F434" s="1463"/>
      <c r="G434" s="1463"/>
      <c r="H434" s="1469" t="s">
        <v>2135</v>
      </c>
      <c r="I434" s="2568" t="s">
        <v>2054</v>
      </c>
      <c r="J434" s="1467" t="s">
        <v>1128</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4.25">
      <c r="B435" s="1463"/>
      <c r="C435" s="1471"/>
      <c r="D435" s="1471"/>
      <c r="E435" s="1463"/>
      <c r="F435" s="1463"/>
      <c r="G435" s="1463"/>
      <c r="H435" s="1469" t="s">
        <v>2136</v>
      </c>
      <c r="I435" s="2568" t="s">
        <v>2054</v>
      </c>
      <c r="J435" s="1467" t="s">
        <v>1128</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4.25">
      <c r="B436" s="1463"/>
      <c r="C436" s="1471"/>
      <c r="D436" s="1471"/>
      <c r="E436" s="1463"/>
      <c r="F436" s="1463"/>
      <c r="G436" s="1463"/>
      <c r="H436" s="1469" t="s">
        <v>2137</v>
      </c>
      <c r="I436" s="2568" t="s">
        <v>2054</v>
      </c>
      <c r="J436" s="1467" t="s">
        <v>1128</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4.25">
      <c r="B437" s="1463"/>
      <c r="C437" s="1471"/>
      <c r="D437" s="1471"/>
      <c r="E437" s="1463"/>
      <c r="F437" s="1463"/>
      <c r="G437" s="1463"/>
      <c r="H437" s="1469" t="s">
        <v>2138</v>
      </c>
      <c r="I437" s="2568">
        <v>2020</v>
      </c>
      <c r="J437" s="2568" t="s">
        <v>2058</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4.25">
      <c r="B438" s="1463"/>
      <c r="C438" s="1471"/>
      <c r="D438" s="1471"/>
      <c r="E438" s="1463"/>
      <c r="F438" s="1463"/>
      <c r="G438" s="1463"/>
      <c r="H438" s="1469" t="s">
        <v>2139</v>
      </c>
      <c r="I438" s="2568">
        <v>2020</v>
      </c>
      <c r="J438" s="2568" t="s">
        <v>2058</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4.25">
      <c r="B439" s="1463"/>
      <c r="C439" s="1463"/>
      <c r="D439" s="1463"/>
      <c r="E439" s="1463"/>
      <c r="F439" s="1463"/>
      <c r="G439" s="1463"/>
      <c r="H439" s="1469" t="s">
        <v>2140</v>
      </c>
      <c r="I439" s="2568">
        <v>2019</v>
      </c>
      <c r="J439" s="2568" t="s">
        <v>2058</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c r="B440" s="1463"/>
      <c r="C440" s="1463"/>
      <c r="D440" s="1463"/>
      <c r="E440" s="1463"/>
      <c r="F440" s="1463"/>
      <c r="G440" s="1463"/>
      <c r="H440" s="1469" t="s">
        <v>2141</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c r="B441" s="1463"/>
      <c r="C441" s="1463"/>
      <c r="D441" s="1463"/>
      <c r="E441" s="1463"/>
      <c r="F441" s="1463"/>
      <c r="G441" s="1463"/>
      <c r="H441" s="1469" t="s">
        <v>2142</v>
      </c>
      <c r="I441" s="2568">
        <v>2019</v>
      </c>
      <c r="J441" s="2568" t="s">
        <v>2058</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c r="B442" s="1463"/>
      <c r="C442" s="1463"/>
      <c r="D442" s="1463"/>
      <c r="E442" s="1463"/>
      <c r="F442" s="1463"/>
      <c r="G442" s="1463"/>
      <c r="H442" s="1469" t="s">
        <v>2143</v>
      </c>
      <c r="I442" s="2568">
        <v>2020</v>
      </c>
      <c r="J442" s="2568" t="s">
        <v>2058</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c r="B443" s="1463"/>
      <c r="C443" s="1463"/>
      <c r="D443" s="1463"/>
      <c r="E443" s="1463"/>
      <c r="F443" s="1463"/>
      <c r="G443" s="1463"/>
      <c r="H443" s="1469" t="s">
        <v>2144</v>
      </c>
      <c r="I443" s="2568">
        <v>2020</v>
      </c>
      <c r="J443" s="2568" t="s">
        <v>2058</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c r="B444" s="1463"/>
      <c r="C444" s="1463"/>
      <c r="D444" s="1463"/>
      <c r="E444" s="1463"/>
      <c r="F444" s="1463"/>
      <c r="G444" s="1463"/>
      <c r="H444" s="1469" t="s">
        <v>2145</v>
      </c>
      <c r="I444" s="2568">
        <v>2020</v>
      </c>
      <c r="J444" s="2568" t="s">
        <v>2058</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c r="B445" s="1463"/>
      <c r="C445" s="1463"/>
      <c r="D445" s="1463"/>
      <c r="E445" s="1463"/>
      <c r="F445" s="1463"/>
      <c r="G445" s="1463"/>
      <c r="H445" s="1469" t="s">
        <v>2146</v>
      </c>
      <c r="I445" s="2568">
        <v>2019</v>
      </c>
      <c r="J445" s="2568" t="s">
        <v>2058</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c r="B446" s="1463"/>
      <c r="C446" s="1463"/>
      <c r="D446" s="1463"/>
      <c r="E446" s="1463"/>
      <c r="F446" s="1463"/>
      <c r="G446" s="1463"/>
      <c r="H446" s="1469" t="s">
        <v>2147</v>
      </c>
      <c r="I446" s="2568">
        <v>2020</v>
      </c>
      <c r="J446" s="2568" t="s">
        <v>2058</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c r="B447" s="1463"/>
      <c r="C447" s="1463"/>
      <c r="D447" s="1463"/>
      <c r="E447" s="1463"/>
      <c r="F447" s="1463"/>
      <c r="G447" s="1463"/>
      <c r="H447" s="1469" t="s">
        <v>2148</v>
      </c>
      <c r="I447" s="2568">
        <v>2020</v>
      </c>
      <c r="J447" s="2568" t="s">
        <v>2058</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c r="B448" s="1463"/>
      <c r="C448" s="1463"/>
      <c r="D448" s="1463"/>
      <c r="E448" s="1463"/>
      <c r="F448" s="1463"/>
      <c r="G448" s="1463"/>
      <c r="H448" s="1469" t="s">
        <v>2149</v>
      </c>
      <c r="I448" s="2568" t="s">
        <v>2054</v>
      </c>
      <c r="J448" s="1467" t="s">
        <v>1128</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4.25">
      <c r="Z582" s="1514"/>
      <c r="AA582" s="1514"/>
      <c r="AB582" s="1514"/>
    </row>
    <row r="583" spans="26:28" ht="14.25">
      <c r="Z583" s="1514"/>
      <c r="AA583" s="1514"/>
      <c r="AB583" s="1514"/>
    </row>
    <row r="584" spans="26:28" ht="14.25">
      <c r="Z584" s="1514"/>
      <c r="AA584" s="1514"/>
      <c r="AB584" s="1514"/>
    </row>
    <row r="585" spans="26:28" ht="14.25">
      <c r="Z585" s="1514"/>
      <c r="AA585" s="1514"/>
      <c r="AB585" s="1514"/>
    </row>
    <row r="586" spans="26:28" ht="14.25">
      <c r="Z586" s="1514"/>
      <c r="AA586" s="1514"/>
      <c r="AB586" s="1514"/>
    </row>
    <row r="587" spans="26:28" ht="14.25">
      <c r="Z587" s="1514"/>
      <c r="AA587" s="1514"/>
      <c r="AB587" s="1514"/>
    </row>
    <row r="588" spans="26:28" ht="14.25">
      <c r="Z588" s="1514"/>
      <c r="AA588" s="1514"/>
      <c r="AB588" s="1514"/>
    </row>
    <row r="589" spans="26:28" ht="14.25">
      <c r="Z589" s="1514"/>
      <c r="AA589" s="1514"/>
      <c r="AB589" s="1514"/>
    </row>
    <row r="590" spans="26:28" ht="14.25">
      <c r="Z590" s="1514"/>
      <c r="AA590" s="1514"/>
      <c r="AB590" s="1514"/>
    </row>
    <row r="591" spans="26:28" ht="14.25">
      <c r="Z591" s="1514"/>
      <c r="AA591" s="1514"/>
      <c r="AB591" s="1514"/>
    </row>
    <row r="592" spans="26:28" ht="14.25">
      <c r="Z592" s="1514"/>
      <c r="AA592" s="1514"/>
      <c r="AB592" s="1514"/>
    </row>
    <row r="593" spans="26:28" ht="14.25">
      <c r="Z593" s="1514"/>
      <c r="AA593" s="1514"/>
      <c r="AB593" s="1514"/>
    </row>
    <row r="594" spans="26:28" ht="14.25">
      <c r="Z594" s="1514"/>
      <c r="AA594" s="1514"/>
      <c r="AB594" s="1514"/>
    </row>
    <row r="595" spans="26:28" ht="14.25">
      <c r="Z595" s="1514"/>
      <c r="AA595" s="1514"/>
      <c r="AB595" s="1514"/>
    </row>
    <row r="596" spans="26:28" ht="14.25">
      <c r="Z596" s="1514"/>
      <c r="AA596" s="1514"/>
      <c r="AB596" s="1514"/>
    </row>
    <row r="597" spans="26:28" ht="14.25">
      <c r="Z597" s="1514"/>
      <c r="AA597" s="1514"/>
      <c r="AB597" s="1514"/>
    </row>
    <row r="598" spans="26:28" ht="14.25">
      <c r="Z598" s="1514"/>
      <c r="AA598" s="1514"/>
      <c r="AB598" s="1514"/>
    </row>
    <row r="599" spans="26:28" ht="14.25">
      <c r="Z599" s="1514"/>
      <c r="AA599" s="1514"/>
      <c r="AB599" s="1514"/>
    </row>
    <row r="600" spans="26:28" ht="14.25">
      <c r="Z600" s="1514"/>
      <c r="AA600" s="1514"/>
      <c r="AB600" s="1514"/>
    </row>
    <row r="601" spans="26:28" ht="14.25">
      <c r="Z601" s="1514"/>
      <c r="AA601" s="1514"/>
      <c r="AB601" s="1514"/>
    </row>
    <row r="602" spans="26:28" ht="14.25">
      <c r="Z602" s="1514"/>
      <c r="AA602" s="1514"/>
      <c r="AB602" s="1514"/>
    </row>
    <row r="603" spans="26:28" ht="14.25">
      <c r="Z603" s="1514"/>
      <c r="AA603" s="1514"/>
      <c r="AB603" s="1514"/>
    </row>
    <row r="604" spans="26:28" ht="14.25">
      <c r="Z604" s="1514"/>
      <c r="AA604" s="1514"/>
      <c r="AB604" s="1514"/>
    </row>
    <row r="605" spans="26:28" ht="14.25">
      <c r="Z605" s="1514"/>
      <c r="AA605" s="1514"/>
      <c r="AB605" s="1514"/>
    </row>
    <row r="606" spans="26:28" ht="14.25">
      <c r="Z606" s="1514"/>
      <c r="AA606" s="1514"/>
      <c r="AB606" s="1514"/>
    </row>
    <row r="607" spans="26:28" ht="14.25">
      <c r="Z607" s="1514"/>
      <c r="AA607" s="1514"/>
      <c r="AB607" s="1514"/>
    </row>
    <row r="608" spans="26:28" ht="14.25">
      <c r="Z608" s="1514"/>
      <c r="AA608" s="1514"/>
      <c r="AB608" s="1514"/>
    </row>
    <row r="609" spans="26:28" ht="14.25">
      <c r="Z609" s="1514"/>
      <c r="AA609" s="1514"/>
      <c r="AB609" s="1514"/>
    </row>
    <row r="610" spans="26:28" ht="14.25">
      <c r="Z610" s="1514"/>
      <c r="AA610" s="1514"/>
      <c r="AB610" s="1514"/>
    </row>
    <row r="611" spans="26:28" ht="14.25">
      <c r="Z611" s="1514"/>
      <c r="AA611" s="1514"/>
      <c r="AB611" s="1514"/>
    </row>
    <row r="612" spans="26:28" ht="14.25">
      <c r="Z612" s="1514"/>
      <c r="AA612" s="1514"/>
      <c r="AB612" s="1514"/>
    </row>
    <row r="613" spans="26:28" ht="14.25">
      <c r="Z613" s="1514"/>
      <c r="AA613" s="1514"/>
      <c r="AB613" s="1514"/>
    </row>
    <row r="614" spans="26:28" ht="14.25">
      <c r="Z614" s="1514"/>
      <c r="AA614" s="1514"/>
      <c r="AB614" s="1514"/>
    </row>
    <row r="615" spans="26:28" ht="14.25">
      <c r="Z615" s="1514"/>
      <c r="AA615" s="1514"/>
      <c r="AB615" s="1514"/>
    </row>
    <row r="616" spans="26:28" ht="14.25">
      <c r="Z616" s="1514"/>
      <c r="AA616" s="1514"/>
      <c r="AB616" s="1514"/>
    </row>
    <row r="617" spans="26:28" ht="14.25">
      <c r="Z617" s="1514"/>
      <c r="AA617" s="1514"/>
      <c r="AB617" s="1514"/>
    </row>
    <row r="618" spans="26:28" ht="14.25">
      <c r="Z618" s="1514"/>
      <c r="AA618" s="1514"/>
      <c r="AB618" s="1514"/>
    </row>
    <row r="619" spans="26:28" ht="14.25">
      <c r="Z619" s="1514"/>
      <c r="AA619" s="1514"/>
      <c r="AB619" s="1514"/>
    </row>
    <row r="620" spans="26:28" ht="14.25">
      <c r="Z620" s="1514"/>
      <c r="AA620" s="1514"/>
      <c r="AB620" s="1514"/>
    </row>
    <row r="621" spans="26:28" ht="14.25">
      <c r="Z621" s="1514"/>
      <c r="AA621" s="1514"/>
      <c r="AB621" s="1514"/>
    </row>
    <row r="622" spans="26:28" ht="14.25">
      <c r="Z622" s="1514"/>
      <c r="AA622" s="1514"/>
      <c r="AB622" s="1514"/>
    </row>
    <row r="623" spans="26:28" ht="14.25">
      <c r="Z623" s="1514"/>
      <c r="AA623" s="1514"/>
      <c r="AB623" s="1514"/>
    </row>
    <row r="624" spans="26:28" ht="14.25">
      <c r="Z624" s="1514"/>
      <c r="AA624" s="1514"/>
      <c r="AB624" s="1514"/>
    </row>
    <row r="625" spans="26:28" ht="14.25">
      <c r="Z625" s="1514"/>
      <c r="AA625" s="1514"/>
      <c r="AB625" s="1514"/>
    </row>
    <row r="626" spans="26:28" ht="14.25">
      <c r="Z626" s="1514"/>
      <c r="AA626" s="1514"/>
      <c r="AB626" s="1514"/>
    </row>
    <row r="627" spans="26:28" ht="14.25">
      <c r="Z627" s="1514"/>
      <c r="AA627" s="1514"/>
      <c r="AB627" s="1514"/>
    </row>
    <row r="628" spans="26:28" ht="14.25">
      <c r="Z628" s="1514"/>
      <c r="AA628" s="1514"/>
      <c r="AB628" s="1514"/>
    </row>
    <row r="629" spans="26:28" ht="14.25">
      <c r="Z629" s="1514"/>
      <c r="AA629" s="1514"/>
      <c r="AB629" s="1514"/>
    </row>
    <row r="630" spans="26:28" ht="14.25">
      <c r="Z630" s="1514"/>
      <c r="AA630" s="1514"/>
      <c r="AB630" s="1514"/>
    </row>
    <row r="631" spans="26:28" ht="14.25">
      <c r="Z631" s="1514"/>
      <c r="AA631" s="1514"/>
      <c r="AB631" s="1514"/>
    </row>
    <row r="632" spans="26:28" ht="14.25">
      <c r="Z632" s="1514"/>
      <c r="AA632" s="1514"/>
      <c r="AB632" s="1514"/>
    </row>
    <row r="633" spans="26:28" ht="14.25">
      <c r="Z633" s="1514"/>
      <c r="AA633" s="1514"/>
      <c r="AB633" s="1514"/>
    </row>
    <row r="634" spans="26:28" ht="14.25">
      <c r="Z634" s="1514"/>
      <c r="AA634" s="1514"/>
      <c r="AB634" s="1514"/>
    </row>
    <row r="635" spans="26:28" ht="14.25">
      <c r="Z635" s="1514"/>
      <c r="AA635" s="1514"/>
      <c r="AB635" s="1514"/>
    </row>
    <row r="636" spans="26:28" ht="14.25">
      <c r="Z636" s="1514"/>
      <c r="AA636" s="1514"/>
      <c r="AB636" s="1514"/>
    </row>
    <row r="637" spans="26:28" ht="14.25">
      <c r="Z637" s="1514"/>
      <c r="AA637" s="1514"/>
      <c r="AB637" s="1514"/>
    </row>
    <row r="638" spans="26:28" ht="14.25">
      <c r="Z638" s="1514"/>
      <c r="AA638" s="1514"/>
      <c r="AB638" s="1514"/>
    </row>
    <row r="639" spans="26:28" ht="14.25">
      <c r="Z639" s="1514"/>
      <c r="AA639" s="1514"/>
      <c r="AB639" s="1514"/>
    </row>
    <row r="640" spans="26:28" ht="14.25">
      <c r="Z640" s="1514"/>
      <c r="AA640" s="1514"/>
      <c r="AB640" s="1514"/>
    </row>
    <row r="641" spans="26:28" ht="14.25">
      <c r="Z641" s="1514"/>
      <c r="AA641" s="1514"/>
      <c r="AB641" s="1514"/>
    </row>
    <row r="642" spans="26:28" ht="14.25">
      <c r="Z642" s="1514"/>
      <c r="AA642" s="1514"/>
      <c r="AB642" s="1514"/>
    </row>
    <row r="643" spans="26:28" ht="14.25">
      <c r="Z643" s="1514"/>
      <c r="AA643" s="1514"/>
      <c r="AB643" s="1514"/>
    </row>
    <row r="644" spans="26:28" ht="14.25">
      <c r="Z644" s="1514"/>
      <c r="AA644" s="1514"/>
      <c r="AB644" s="1514"/>
    </row>
    <row r="645" spans="26:28" ht="14.25">
      <c r="Z645" s="1514"/>
      <c r="AA645" s="1514"/>
      <c r="AB645" s="1514"/>
    </row>
    <row r="646" spans="26:28" ht="14.25">
      <c r="Z646" s="1514"/>
      <c r="AA646" s="1514"/>
      <c r="AB646" s="1514"/>
    </row>
    <row r="647" spans="26:28" ht="14.25">
      <c r="Z647" s="1514"/>
      <c r="AA647" s="1514"/>
      <c r="AB647" s="1514"/>
    </row>
    <row r="648" spans="26:28" ht="14.25">
      <c r="Z648" s="1514"/>
      <c r="AA648" s="1514"/>
      <c r="AB648" s="1514"/>
    </row>
    <row r="649" spans="26:28" ht="14.25">
      <c r="Z649" s="1514"/>
      <c r="AA649" s="1514"/>
      <c r="AB649" s="1514"/>
    </row>
    <row r="650" spans="26:28" ht="14.25">
      <c r="Z650" s="1514"/>
      <c r="AA650" s="1514"/>
      <c r="AB650" s="1514"/>
    </row>
    <row r="651" spans="26:28" ht="14.25">
      <c r="Z651" s="1514"/>
      <c r="AA651" s="1514"/>
      <c r="AB651" s="1514"/>
    </row>
    <row r="652" spans="26:28" ht="14.25">
      <c r="Z652" s="1514"/>
      <c r="AA652" s="1514"/>
      <c r="AB652" s="1514"/>
    </row>
    <row r="653" spans="26:28" ht="14.25">
      <c r="Z653" s="1514"/>
      <c r="AA653" s="1514"/>
      <c r="AB653" s="1514"/>
    </row>
    <row r="654" spans="26:28" ht="14.25">
      <c r="Z654" s="1514"/>
      <c r="AA654" s="1514"/>
      <c r="AB654" s="1514"/>
    </row>
    <row r="655" spans="26:28" ht="14.25">
      <c r="Z655" s="1514"/>
      <c r="AA655" s="1514"/>
      <c r="AB655" s="1514"/>
    </row>
    <row r="656" spans="26:28" ht="14.25">
      <c r="Z656" s="1514"/>
      <c r="AA656" s="1514"/>
      <c r="AB656" s="1514"/>
    </row>
    <row r="657" spans="26:28" ht="14.25">
      <c r="Z657" s="1514"/>
      <c r="AA657" s="1514"/>
      <c r="AB657" s="1514"/>
    </row>
    <row r="658" spans="26:28" ht="14.25">
      <c r="Z658" s="1514"/>
      <c r="AA658" s="1514"/>
      <c r="AB658" s="1514"/>
    </row>
    <row r="659" spans="26:28" ht="14.25">
      <c r="Z659" s="1514"/>
      <c r="AA659" s="1514"/>
      <c r="AB659" s="1514"/>
    </row>
    <row r="660" spans="26:28" ht="14.25">
      <c r="Z660" s="1514"/>
      <c r="AA660" s="1514"/>
      <c r="AB660" s="1514"/>
    </row>
    <row r="661" spans="26:28" ht="14.25">
      <c r="Z661" s="1514"/>
      <c r="AA661" s="1514"/>
      <c r="AB661" s="1514"/>
    </row>
    <row r="662" spans="26:28" ht="14.25">
      <c r="Z662" s="1514"/>
      <c r="AA662" s="1514"/>
      <c r="AB662" s="1514"/>
    </row>
    <row r="663" spans="26:28" ht="14.25">
      <c r="Z663" s="1514"/>
      <c r="AA663" s="1514"/>
      <c r="AB663" s="1514"/>
    </row>
    <row r="664" spans="26:28" ht="14.25">
      <c r="Z664" s="1514"/>
      <c r="AA664" s="1514"/>
      <c r="AB664" s="1514"/>
    </row>
    <row r="665" spans="26:28" ht="14.25">
      <c r="Z665" s="1514"/>
      <c r="AA665" s="1514"/>
      <c r="AB665" s="1514"/>
    </row>
    <row r="666" spans="26:28" ht="14.25">
      <c r="Z666" s="1514"/>
      <c r="AA666" s="1514"/>
      <c r="AB666" s="1514"/>
    </row>
    <row r="667" spans="26:28" ht="14.25">
      <c r="Z667" s="1514"/>
      <c r="AA667" s="1514"/>
      <c r="AB667" s="1514"/>
    </row>
    <row r="668" spans="26:28" ht="14.25">
      <c r="Z668" s="1514"/>
      <c r="AA668" s="1514"/>
      <c r="AB668" s="1514"/>
    </row>
    <row r="669" spans="26:28" ht="14.25">
      <c r="Z669" s="1514"/>
      <c r="AA669" s="1514"/>
      <c r="AB669" s="1514"/>
    </row>
    <row r="670" spans="26:28" ht="14.25">
      <c r="Z670" s="1514"/>
      <c r="AA670" s="1514"/>
      <c r="AB670" s="1514"/>
    </row>
    <row r="671" spans="26:28" ht="14.25">
      <c r="Z671" s="1514"/>
      <c r="AA671" s="1514"/>
      <c r="AB671" s="1514"/>
    </row>
    <row r="672" spans="26:28" ht="14.25">
      <c r="Z672" s="1514"/>
      <c r="AA672" s="1514"/>
      <c r="AB672" s="1514"/>
    </row>
    <row r="673" spans="26:28" ht="14.25">
      <c r="Z673" s="1514"/>
      <c r="AA673" s="1514"/>
      <c r="AB673" s="1514"/>
    </row>
    <row r="674" spans="26:28" ht="14.25">
      <c r="Z674" s="1514"/>
      <c r="AA674" s="1514"/>
      <c r="AB674" s="1514"/>
    </row>
    <row r="675" spans="26:28" ht="14.25">
      <c r="Z675" s="1514"/>
      <c r="AA675" s="1514"/>
      <c r="AB675" s="1514"/>
    </row>
    <row r="676" spans="26:28" ht="14.25">
      <c r="Z676" s="1514"/>
      <c r="AA676" s="1514"/>
      <c r="AB676" s="1514"/>
    </row>
    <row r="677" spans="26:28" ht="14.25">
      <c r="Z677" s="1514"/>
      <c r="AA677" s="1514"/>
      <c r="AB677" s="1514"/>
    </row>
    <row r="678" spans="26:28" ht="14.25">
      <c r="Z678" s="1514"/>
      <c r="AA678" s="1514"/>
      <c r="AB678" s="1514"/>
    </row>
    <row r="679" spans="26:28" ht="14.25">
      <c r="Z679" s="1514"/>
      <c r="AA679" s="1514"/>
      <c r="AB679" s="1514"/>
    </row>
    <row r="680" spans="26:28" ht="14.25">
      <c r="Z680" s="1514"/>
      <c r="AA680" s="1514"/>
      <c r="AB680" s="1514"/>
    </row>
    <row r="681" spans="26:28" ht="14.25">
      <c r="Z681" s="1514"/>
      <c r="AA681" s="1514"/>
      <c r="AB681" s="1514"/>
    </row>
    <row r="682" spans="26:28" ht="14.25">
      <c r="Z682" s="1514"/>
      <c r="AA682" s="1514"/>
      <c r="AB682" s="1514"/>
    </row>
    <row r="683" spans="26:28" ht="14.25">
      <c r="Z683" s="1514"/>
      <c r="AA683" s="1514"/>
      <c r="AB683" s="1514"/>
    </row>
    <row r="684" spans="26:28" ht="14.25">
      <c r="Z684" s="1514"/>
      <c r="AA684" s="1514"/>
      <c r="AB684" s="1514"/>
    </row>
    <row r="685" spans="26:28" ht="14.25">
      <c r="Z685" s="1514"/>
      <c r="AA685" s="1514"/>
      <c r="AB685" s="1514"/>
    </row>
    <row r="686" spans="26:28" ht="14.25">
      <c r="Z686" s="1514"/>
      <c r="AA686" s="1514"/>
      <c r="AB686" s="1514"/>
    </row>
    <row r="687" spans="26:28" ht="14.25">
      <c r="Z687" s="1514"/>
      <c r="AA687" s="1514"/>
      <c r="AB687" s="1514"/>
    </row>
    <row r="688" spans="26:28" ht="14.25">
      <c r="Z688" s="1514"/>
      <c r="AA688" s="1514"/>
      <c r="AB688" s="1514"/>
    </row>
    <row r="689" spans="26:28" ht="14.25">
      <c r="Z689" s="1514"/>
      <c r="AA689" s="1514"/>
      <c r="AB689" s="1514"/>
    </row>
    <row r="690" spans="26:28" ht="14.25">
      <c r="Z690" s="1514"/>
      <c r="AA690" s="1514"/>
      <c r="AB690" s="1514"/>
    </row>
    <row r="691" spans="26:28" ht="14.25">
      <c r="Z691" s="1514"/>
      <c r="AA691" s="1514"/>
      <c r="AB691" s="1514"/>
    </row>
    <row r="692" spans="26:28" ht="14.25">
      <c r="Z692" s="1514"/>
      <c r="AA692" s="1514"/>
      <c r="AB692" s="1514"/>
    </row>
    <row r="693" spans="26:28" ht="14.25">
      <c r="Z693" s="1514"/>
      <c r="AA693" s="1514"/>
      <c r="AB693" s="1514"/>
    </row>
    <row r="694" spans="26:28" ht="14.25">
      <c r="Z694" s="1514"/>
      <c r="AA694" s="1514"/>
      <c r="AB694" s="1514"/>
    </row>
    <row r="695" spans="26:28" ht="14.25">
      <c r="Z695" s="1514"/>
      <c r="AA695" s="1514"/>
      <c r="AB695" s="1514"/>
    </row>
    <row r="696" spans="26:28" ht="14.25">
      <c r="Z696" s="1514"/>
      <c r="AA696" s="1514"/>
      <c r="AB696" s="1514"/>
    </row>
    <row r="697" spans="26:28" ht="14.25">
      <c r="Z697" s="1514"/>
      <c r="AA697" s="1514"/>
      <c r="AB697" s="1514"/>
    </row>
    <row r="698" spans="26:28" ht="14.25">
      <c r="Z698" s="1514"/>
      <c r="AA698" s="1514"/>
      <c r="AB698" s="1514"/>
    </row>
    <row r="699" spans="26:28" ht="14.25">
      <c r="Z699" s="1514"/>
      <c r="AA699" s="1514"/>
      <c r="AB699" s="1514"/>
    </row>
    <row r="700" spans="26:28" ht="14.25">
      <c r="Z700" s="1514"/>
      <c r="AA700" s="1514"/>
      <c r="AB700" s="1514"/>
    </row>
    <row r="701" spans="26:28" ht="14.25">
      <c r="Z701" s="1514"/>
      <c r="AA701" s="1514"/>
      <c r="AB701" s="1514"/>
    </row>
    <row r="702" spans="26:28" ht="14.25">
      <c r="Z702" s="1514"/>
      <c r="AA702" s="1514"/>
      <c r="AB702" s="1514"/>
    </row>
    <row r="703" spans="26:28" ht="14.25">
      <c r="Z703" s="1514"/>
      <c r="AA703" s="1514"/>
      <c r="AB703" s="1514"/>
    </row>
    <row r="704" spans="26:28" ht="14.25">
      <c r="Z704" s="1514"/>
      <c r="AA704" s="1514"/>
      <c r="AB704" s="1514"/>
    </row>
    <row r="705" spans="26:28" ht="14.25">
      <c r="Z705" s="1514"/>
      <c r="AA705" s="1514"/>
      <c r="AB705" s="1514"/>
    </row>
    <row r="706" spans="26:28" ht="14.25">
      <c r="Z706" s="1514"/>
      <c r="AA706" s="1514"/>
      <c r="AB706" s="1514"/>
    </row>
    <row r="707" spans="26:28" ht="14.25">
      <c r="Z707" s="1514"/>
      <c r="AA707" s="1514"/>
      <c r="AB707" s="1514"/>
    </row>
    <row r="708" spans="26:28" ht="14.25">
      <c r="Z708" s="1514"/>
      <c r="AA708" s="1514"/>
      <c r="AB708" s="1514"/>
    </row>
    <row r="709" spans="26:28" ht="14.25">
      <c r="Z709" s="1514"/>
      <c r="AA709" s="1514"/>
      <c r="AB709" s="1514"/>
    </row>
    <row r="710" spans="26:28" ht="14.25">
      <c r="Z710" s="1514"/>
      <c r="AA710" s="1514"/>
      <c r="AB710" s="1514"/>
    </row>
    <row r="711" spans="26:28" ht="14.25">
      <c r="Z711" s="1514"/>
      <c r="AA711" s="1514"/>
      <c r="AB711" s="1514"/>
    </row>
    <row r="712" spans="26:28" ht="14.25">
      <c r="Z712" s="1514"/>
      <c r="AA712" s="1514"/>
      <c r="AB712" s="1514"/>
    </row>
    <row r="713" spans="26:28" ht="14.25">
      <c r="Z713" s="1514"/>
      <c r="AA713" s="1514"/>
      <c r="AB713" s="1514"/>
    </row>
    <row r="714" spans="26:28" ht="14.25">
      <c r="Z714" s="1514"/>
      <c r="AA714" s="1514"/>
      <c r="AB714" s="1514"/>
    </row>
    <row r="715" spans="26:28" ht="14.25">
      <c r="Z715" s="1514"/>
      <c r="AA715" s="1514"/>
      <c r="AB715" s="1514"/>
    </row>
    <row r="716" spans="26:28" ht="14.25">
      <c r="Z716" s="1514"/>
      <c r="AA716" s="1514"/>
      <c r="AB716" s="1514"/>
    </row>
    <row r="717" spans="26:28" ht="14.25">
      <c r="Z717" s="1514"/>
      <c r="AA717" s="1514"/>
      <c r="AB717" s="1514"/>
    </row>
    <row r="718" spans="26:28" ht="14.25">
      <c r="Z718" s="1514"/>
      <c r="AA718" s="1514"/>
      <c r="AB718" s="1514"/>
    </row>
    <row r="719" spans="26:28" ht="14.25">
      <c r="Z719" s="1514"/>
      <c r="AA719" s="1514"/>
      <c r="AB719" s="1514"/>
    </row>
    <row r="720" spans="26:28" ht="14.25">
      <c r="Z720" s="1514"/>
      <c r="AA720" s="1514"/>
      <c r="AB720" s="1514"/>
    </row>
    <row r="721" spans="26:28" ht="14.25">
      <c r="Z721" s="1514"/>
      <c r="AA721" s="1514"/>
      <c r="AB721" s="1514"/>
    </row>
    <row r="722" spans="26:28" ht="14.25">
      <c r="Z722" s="1514"/>
      <c r="AA722" s="1514"/>
      <c r="AB722" s="1514"/>
    </row>
    <row r="723" spans="26:28" ht="14.25">
      <c r="Z723" s="1514"/>
      <c r="AA723" s="1514"/>
      <c r="AB723" s="1514"/>
    </row>
    <row r="724" spans="26:28" ht="14.25">
      <c r="Z724" s="1514"/>
      <c r="AA724" s="1514"/>
      <c r="AB724" s="1514"/>
    </row>
    <row r="725" spans="26:28" ht="14.25">
      <c r="Z725" s="1514"/>
      <c r="AA725" s="1514"/>
      <c r="AB725" s="1514"/>
    </row>
    <row r="726" spans="26:28" ht="14.25">
      <c r="Z726" s="1514"/>
      <c r="AA726" s="1514"/>
      <c r="AB726" s="1514"/>
    </row>
    <row r="727" spans="26:28" ht="14.25">
      <c r="Z727" s="1514"/>
      <c r="AA727" s="1514"/>
      <c r="AB727" s="1514"/>
    </row>
    <row r="728" spans="26:28" ht="14.25">
      <c r="Z728" s="1514"/>
      <c r="AA728" s="1514"/>
      <c r="AB728" s="1514"/>
    </row>
    <row r="729" spans="26:28" ht="14.25">
      <c r="Z729" s="1514"/>
      <c r="AA729" s="1514"/>
      <c r="AB729" s="1514"/>
    </row>
    <row r="730" spans="26:28" ht="14.25">
      <c r="Z730" s="1514"/>
      <c r="AA730" s="1514"/>
      <c r="AB730" s="1514"/>
    </row>
    <row r="731" spans="26:28" ht="14.25">
      <c r="Z731" s="1514"/>
      <c r="AA731" s="1514"/>
      <c r="AB731" s="1514"/>
    </row>
    <row r="732" spans="26:28" ht="14.25">
      <c r="Z732" s="1514"/>
      <c r="AA732" s="1514"/>
      <c r="AB732" s="1514"/>
    </row>
    <row r="733" spans="26:28" ht="14.25">
      <c r="Z733" s="1514"/>
      <c r="AA733" s="1514"/>
      <c r="AB733" s="1514"/>
    </row>
    <row r="734" spans="26:28" ht="14.25">
      <c r="Z734" s="1514"/>
      <c r="AA734" s="1514"/>
      <c r="AB734" s="1514"/>
    </row>
    <row r="735" spans="26:28" ht="14.25">
      <c r="Z735" s="1514"/>
      <c r="AA735" s="1514"/>
      <c r="AB735" s="1514"/>
    </row>
    <row r="736" spans="26:28" ht="14.25">
      <c r="Z736" s="1514"/>
      <c r="AA736" s="1514"/>
      <c r="AB736" s="1514"/>
    </row>
    <row r="737" spans="26:28" ht="14.25">
      <c r="Z737" s="1514"/>
      <c r="AA737" s="1514"/>
      <c r="AB737" s="1514"/>
    </row>
    <row r="738" spans="26:28" ht="14.25">
      <c r="Z738" s="1514"/>
      <c r="AA738" s="1514"/>
      <c r="AB738" s="1514"/>
    </row>
    <row r="739" spans="26:28" ht="14.25">
      <c r="Z739" s="1514"/>
      <c r="AA739" s="1514"/>
      <c r="AB739" s="1514"/>
    </row>
    <row r="740" spans="26:28" ht="14.25">
      <c r="Z740" s="1514"/>
      <c r="AA740" s="1514"/>
      <c r="AB740" s="1514"/>
    </row>
    <row r="741" spans="26:28" ht="14.25">
      <c r="Z741" s="1514"/>
      <c r="AA741" s="1514"/>
      <c r="AB741" s="1514"/>
    </row>
    <row r="742" spans="26:28" ht="14.25">
      <c r="Z742" s="1514"/>
      <c r="AA742" s="1514"/>
      <c r="AB742" s="1514"/>
    </row>
    <row r="743" spans="26:28" ht="14.25">
      <c r="Z743" s="1514"/>
      <c r="AA743" s="1514"/>
      <c r="AB743" s="1514"/>
    </row>
    <row r="744" spans="26:28" ht="14.25">
      <c r="Z744" s="1514"/>
      <c r="AA744" s="1514"/>
      <c r="AB744" s="1514"/>
    </row>
    <row r="745" spans="26:28" ht="14.25">
      <c r="Z745" s="1514"/>
      <c r="AA745" s="1514"/>
      <c r="AB745" s="1514"/>
    </row>
    <row r="746" spans="26:28" ht="14.25">
      <c r="Z746" s="1514"/>
      <c r="AA746" s="1514"/>
      <c r="AB746" s="1514"/>
    </row>
    <row r="747" spans="26:28" ht="14.25">
      <c r="Z747" s="1514"/>
      <c r="AA747" s="1514"/>
      <c r="AB747" s="1514"/>
    </row>
    <row r="748" spans="26:28" ht="14.25">
      <c r="Z748" s="1514"/>
      <c r="AA748" s="1514"/>
      <c r="AB748" s="1514"/>
    </row>
    <row r="749" spans="26:28" ht="14.25">
      <c r="Z749" s="1514"/>
      <c r="AA749" s="1514"/>
      <c r="AB749" s="1514"/>
    </row>
    <row r="750" spans="26:28" ht="14.25">
      <c r="Z750" s="1514"/>
      <c r="AA750" s="1514"/>
      <c r="AB750" s="1514"/>
    </row>
    <row r="751" spans="26:28" ht="14.25">
      <c r="Z751" s="1514"/>
      <c r="AA751" s="1514"/>
      <c r="AB751" s="1514"/>
    </row>
    <row r="752" spans="26:28" ht="14.25">
      <c r="Z752" s="1514"/>
      <c r="AA752" s="1514"/>
      <c r="AB752" s="1514"/>
    </row>
    <row r="753" spans="26:28" ht="14.25">
      <c r="Z753" s="1514"/>
      <c r="AA753" s="1514"/>
      <c r="AB753" s="1514"/>
    </row>
    <row r="754" spans="26:28" ht="14.25">
      <c r="Z754" s="1514"/>
      <c r="AA754" s="1514"/>
      <c r="AB754" s="1514"/>
    </row>
    <row r="755" spans="26:28" ht="14.25">
      <c r="Z755" s="1514"/>
      <c r="AA755" s="1514"/>
      <c r="AB755" s="1514"/>
    </row>
    <row r="756" spans="26:28" ht="14.25">
      <c r="Z756" s="1514"/>
      <c r="AA756" s="1514"/>
      <c r="AB756" s="1514"/>
    </row>
    <row r="757" spans="26:28" ht="14.25">
      <c r="Z757" s="1514"/>
      <c r="AA757" s="1514"/>
      <c r="AB757" s="1514"/>
    </row>
    <row r="758" spans="26:28" ht="14.25">
      <c r="Z758" s="1514"/>
      <c r="AA758" s="1514"/>
      <c r="AB758" s="1514"/>
    </row>
    <row r="759" spans="26:28" ht="14.25">
      <c r="Z759" s="1514"/>
      <c r="AA759" s="1514"/>
      <c r="AB759" s="1514"/>
    </row>
    <row r="760" spans="26:28" ht="14.25">
      <c r="Z760" s="1514"/>
      <c r="AA760" s="1514"/>
      <c r="AB760" s="1514"/>
    </row>
    <row r="761" spans="26:28" ht="14.25">
      <c r="Z761" s="1514"/>
      <c r="AA761" s="1514"/>
      <c r="AB761" s="1514"/>
    </row>
    <row r="762" spans="26:28" ht="14.25">
      <c r="Z762" s="1514"/>
      <c r="AA762" s="1514"/>
      <c r="AB762" s="1514"/>
    </row>
    <row r="763" spans="26:28" ht="14.25">
      <c r="Z763" s="1514"/>
      <c r="AA763" s="1514"/>
      <c r="AB763" s="1514"/>
    </row>
    <row r="764" spans="26:28" ht="14.25">
      <c r="Z764" s="1514"/>
      <c r="AA764" s="1514"/>
      <c r="AB764" s="1514"/>
    </row>
    <row r="765" spans="26:28" ht="14.25">
      <c r="Z765" s="1514"/>
      <c r="AA765" s="1514"/>
      <c r="AB765" s="1514"/>
    </row>
    <row r="766" spans="26:28" ht="14.25">
      <c r="Z766" s="1514"/>
      <c r="AA766" s="1514"/>
      <c r="AB766" s="1514"/>
    </row>
    <row r="767" spans="26:28" ht="14.25">
      <c r="Z767" s="1514"/>
      <c r="AA767" s="1514"/>
      <c r="AB767" s="1514"/>
    </row>
    <row r="768" spans="26:28" ht="14.25">
      <c r="Z768" s="1514"/>
      <c r="AA768" s="1514"/>
      <c r="AB768" s="1514"/>
    </row>
    <row r="769" spans="26:28" ht="14.25">
      <c r="Z769" s="1514"/>
      <c r="AA769" s="1514"/>
      <c r="AB769" s="1514"/>
    </row>
    <row r="770" spans="26:28" ht="14.25">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 ref="S226:U226"/>
    <mergeCell ref="E223:F223"/>
    <mergeCell ref="G222:L222"/>
    <mergeCell ref="G223:L223"/>
    <mergeCell ref="G224:L224"/>
    <mergeCell ref="E225:F225"/>
    <mergeCell ref="E224:F224"/>
    <mergeCell ref="E226:F226"/>
    <mergeCell ref="G225:L225"/>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Z185:AB185"/>
    <mergeCell ref="Z186:AB186"/>
    <mergeCell ref="Z189:AB189"/>
    <mergeCell ref="A210:AB210"/>
    <mergeCell ref="Z187:AB187"/>
    <mergeCell ref="Z188:AB188"/>
    <mergeCell ref="Y223:AB223"/>
    <mergeCell ref="Y224:AB224"/>
    <mergeCell ref="A212:AB212"/>
    <mergeCell ref="BN388:BO388"/>
    <mergeCell ref="AW389:AZ389"/>
    <mergeCell ref="AW395:AZ396"/>
    <mergeCell ref="H398:J398"/>
    <mergeCell ref="AS388:AT388"/>
    <mergeCell ref="AU388:AV388"/>
    <mergeCell ref="AW388:AZ388"/>
    <mergeCell ref="BH388:BI388"/>
    <mergeCell ref="BJ388:BK388"/>
    <mergeCell ref="BL388:BM388"/>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363:C363"/>
    <mergeCell ref="Y363:AB363"/>
    <mergeCell ref="B364:C364"/>
    <mergeCell ref="Y364:AB364"/>
    <mergeCell ref="D363:G363"/>
    <mergeCell ref="D364:G364"/>
    <mergeCell ref="U363:W363"/>
    <mergeCell ref="U364:W364"/>
    <mergeCell ref="H363:T363"/>
    <mergeCell ref="H364:T364"/>
    <mergeCell ref="B361:C361"/>
    <mergeCell ref="Y361:AB361"/>
    <mergeCell ref="B362:C362"/>
    <mergeCell ref="Y362:AB362"/>
    <mergeCell ref="D361:G361"/>
    <mergeCell ref="D362:G362"/>
    <mergeCell ref="U361:W361"/>
    <mergeCell ref="U362:W362"/>
    <mergeCell ref="H361:T361"/>
    <mergeCell ref="H362:T362"/>
    <mergeCell ref="B359:C359"/>
    <mergeCell ref="Y359:AB359"/>
    <mergeCell ref="B360:C360"/>
    <mergeCell ref="Y360:AB360"/>
    <mergeCell ref="D359:G359"/>
    <mergeCell ref="D360:G360"/>
    <mergeCell ref="U359:W359"/>
    <mergeCell ref="U360:W360"/>
    <mergeCell ref="H359:T359"/>
    <mergeCell ref="H360:T360"/>
    <mergeCell ref="B357:C357"/>
    <mergeCell ref="Y357:AB357"/>
    <mergeCell ref="B358:C358"/>
    <mergeCell ref="Y358:AB358"/>
    <mergeCell ref="D357:G357"/>
    <mergeCell ref="D358:G358"/>
    <mergeCell ref="U357:W357"/>
    <mergeCell ref="U358:W358"/>
    <mergeCell ref="H357:T357"/>
    <mergeCell ref="H358:T35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Y57:AB57"/>
    <mergeCell ref="AH57:AI57"/>
    <mergeCell ref="AJ57:AK57"/>
    <mergeCell ref="AL57:AM57"/>
    <mergeCell ref="Y58:AB58"/>
    <mergeCell ref="AH58:AI58"/>
    <mergeCell ref="AJ58:AK58"/>
    <mergeCell ref="AL58:AM58"/>
    <mergeCell ref="T57:W57"/>
    <mergeCell ref="T58:W58"/>
    <mergeCell ref="Y53:AB53"/>
    <mergeCell ref="AH53:AM53"/>
    <mergeCell ref="Y56:AB56"/>
    <mergeCell ref="Y51:AB51"/>
    <mergeCell ref="Y52:AB52"/>
    <mergeCell ref="T51:W51"/>
    <mergeCell ref="T52:W52"/>
    <mergeCell ref="T53:W53"/>
    <mergeCell ref="T55:W55"/>
    <mergeCell ref="T56:W56"/>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2.75"/>
  <cols>
    <col min="1" max="1" width="40.85546875" customWidth="1"/>
    <col min="2" max="2" width="10.85546875" style="34" bestFit="1" customWidth="1"/>
    <col min="3" max="3" width="10.85546875" style="34" customWidth="1"/>
    <col min="4" max="4" width="10.85546875" style="34" bestFit="1" customWidth="1"/>
    <col min="5" max="5" width="10.85546875" style="34" customWidth="1"/>
    <col min="6" max="6" width="16.5703125" style="34" bestFit="1" customWidth="1"/>
    <col min="7" max="12" width="8.85546875" style="34"/>
  </cols>
  <sheetData>
    <row r="1" spans="1:12" ht="15" thickBot="1">
      <c r="A1" s="2301"/>
      <c r="B1" s="4212" t="s">
        <v>1254</v>
      </c>
      <c r="C1" s="4213"/>
      <c r="D1" s="4212" t="s">
        <v>2019</v>
      </c>
      <c r="E1" s="4214"/>
      <c r="F1" s="9"/>
      <c r="G1" s="2308" t="s">
        <v>2150</v>
      </c>
      <c r="H1" s="9"/>
      <c r="I1" s="9"/>
      <c r="J1" s="9"/>
      <c r="K1" s="3901" t="s">
        <v>2151</v>
      </c>
      <c r="L1" s="3901"/>
    </row>
    <row r="2" spans="1:12" ht="14.25">
      <c r="A2" s="2302"/>
      <c r="B2" s="2303">
        <v>0.09</v>
      </c>
      <c r="C2" s="2304" t="s">
        <v>2152</v>
      </c>
      <c r="D2" s="2303">
        <v>0.09</v>
      </c>
      <c r="E2" s="2305" t="s">
        <v>2152</v>
      </c>
      <c r="F2" s="58" t="s">
        <v>2153</v>
      </c>
      <c r="G2" s="58" t="s">
        <v>2154</v>
      </c>
      <c r="H2" s="58" t="s">
        <v>2155</v>
      </c>
      <c r="I2" s="58" t="s">
        <v>2156</v>
      </c>
      <c r="J2" s="58" t="s">
        <v>2157</v>
      </c>
      <c r="K2" s="58" t="s">
        <v>2158</v>
      </c>
      <c r="L2" s="58" t="s">
        <v>2159</v>
      </c>
    </row>
    <row r="3" spans="1:12" ht="14.25">
      <c r="A3" s="2306" t="s">
        <v>2024</v>
      </c>
      <c r="B3" s="34">
        <v>6</v>
      </c>
      <c r="C3" s="34">
        <v>6</v>
      </c>
      <c r="D3" s="34">
        <v>6</v>
      </c>
      <c r="E3" s="34">
        <v>6</v>
      </c>
      <c r="F3" s="34">
        <v>6</v>
      </c>
      <c r="G3" s="34">
        <v>6</v>
      </c>
      <c r="H3" s="34">
        <v>6</v>
      </c>
      <c r="I3" s="34">
        <v>6</v>
      </c>
      <c r="J3" s="34">
        <v>6</v>
      </c>
      <c r="K3" s="34">
        <v>6</v>
      </c>
    </row>
    <row r="4" spans="1:12" ht="14.25">
      <c r="A4" s="2306" t="s">
        <v>2028</v>
      </c>
      <c r="B4" s="34">
        <v>5</v>
      </c>
      <c r="C4" s="34">
        <v>5</v>
      </c>
      <c r="D4" s="34">
        <v>5</v>
      </c>
      <c r="E4" s="34">
        <v>5</v>
      </c>
      <c r="F4" s="34">
        <v>5</v>
      </c>
      <c r="G4" s="34">
        <v>5</v>
      </c>
      <c r="H4" s="34">
        <v>5</v>
      </c>
      <c r="I4" s="34">
        <v>5</v>
      </c>
      <c r="J4" s="34">
        <v>5</v>
      </c>
      <c r="K4" s="34">
        <v>5</v>
      </c>
    </row>
    <row r="5" spans="1:12" ht="14.25">
      <c r="A5" s="2307" t="s">
        <v>2031</v>
      </c>
      <c r="B5" s="34">
        <v>10</v>
      </c>
      <c r="C5" s="34">
        <v>10</v>
      </c>
      <c r="D5" s="34">
        <v>10</v>
      </c>
      <c r="E5" s="34">
        <v>10</v>
      </c>
      <c r="F5" s="34">
        <v>10</v>
      </c>
      <c r="G5" s="34">
        <v>10</v>
      </c>
      <c r="H5" s="34">
        <v>10</v>
      </c>
      <c r="I5" s="34">
        <v>10</v>
      </c>
      <c r="J5" s="34">
        <v>10</v>
      </c>
      <c r="K5" s="34">
        <v>10</v>
      </c>
    </row>
    <row r="6" spans="1:12" ht="14.25">
      <c r="A6" s="2306" t="s">
        <v>2033</v>
      </c>
      <c r="B6" s="34">
        <v>5</v>
      </c>
      <c r="C6" s="34">
        <v>5</v>
      </c>
      <c r="D6" s="34">
        <v>5</v>
      </c>
      <c r="E6" s="34">
        <v>5</v>
      </c>
      <c r="F6" s="34">
        <v>5</v>
      </c>
      <c r="G6" s="34">
        <v>5</v>
      </c>
      <c r="H6" s="34">
        <v>5</v>
      </c>
      <c r="I6" s="34">
        <v>5</v>
      </c>
      <c r="J6" s="34">
        <v>5</v>
      </c>
      <c r="K6" s="2310"/>
    </row>
    <row r="7" spans="1:12" ht="14.25">
      <c r="A7" s="2307" t="s">
        <v>2036</v>
      </c>
      <c r="B7" s="34">
        <v>15</v>
      </c>
      <c r="C7" s="34">
        <v>15</v>
      </c>
      <c r="D7" s="34">
        <v>15</v>
      </c>
      <c r="E7" s="34">
        <v>15</v>
      </c>
      <c r="F7" s="34">
        <v>15</v>
      </c>
      <c r="G7" s="34">
        <v>15</v>
      </c>
      <c r="H7" s="34">
        <v>15</v>
      </c>
      <c r="I7" s="34">
        <v>15</v>
      </c>
      <c r="J7" s="34">
        <v>15</v>
      </c>
      <c r="K7" s="34">
        <v>15</v>
      </c>
    </row>
    <row r="8" spans="1:12" ht="29.25" thickBot="1">
      <c r="A8" s="2306" t="s">
        <v>2160</v>
      </c>
      <c r="B8" s="34">
        <v>3</v>
      </c>
      <c r="C8" s="34">
        <v>3</v>
      </c>
      <c r="D8" s="34">
        <v>3</v>
      </c>
      <c r="E8" s="34">
        <v>3</v>
      </c>
      <c r="F8" s="34">
        <v>3</v>
      </c>
      <c r="G8" s="34">
        <v>3</v>
      </c>
      <c r="H8" s="34">
        <v>3</v>
      </c>
      <c r="I8" s="34">
        <v>3</v>
      </c>
      <c r="J8" s="34">
        <v>3</v>
      </c>
      <c r="K8" s="34">
        <v>3</v>
      </c>
    </row>
    <row r="9" spans="1:12" ht="15" thickBot="1">
      <c r="A9" s="2307" t="s">
        <v>2042</v>
      </c>
      <c r="B9" s="34">
        <v>2</v>
      </c>
      <c r="C9" s="34">
        <v>2</v>
      </c>
      <c r="D9" s="34">
        <v>2</v>
      </c>
      <c r="E9" s="34">
        <v>2</v>
      </c>
      <c r="F9" s="34">
        <v>2</v>
      </c>
      <c r="G9" s="34">
        <v>2</v>
      </c>
      <c r="H9" s="34">
        <v>2</v>
      </c>
      <c r="I9" s="34">
        <v>2</v>
      </c>
      <c r="J9" s="34">
        <v>2</v>
      </c>
      <c r="K9" s="34">
        <v>2</v>
      </c>
    </row>
    <row r="10" spans="1:12" ht="15" thickBot="1">
      <c r="A10" s="2306" t="s">
        <v>1980</v>
      </c>
      <c r="B10" s="34">
        <v>20</v>
      </c>
      <c r="C10" s="34">
        <v>20</v>
      </c>
      <c r="K10" s="34">
        <v>20</v>
      </c>
    </row>
    <row r="11" spans="1:12" ht="15" thickBot="1">
      <c r="A11" s="2307" t="s">
        <v>1981</v>
      </c>
      <c r="B11" s="34">
        <v>6</v>
      </c>
      <c r="C11" s="34">
        <v>6</v>
      </c>
      <c r="K11" s="34">
        <v>6</v>
      </c>
    </row>
    <row r="12" spans="1:12" ht="15" thickBot="1">
      <c r="A12" s="2306" t="s">
        <v>1982</v>
      </c>
      <c r="B12" s="34">
        <v>3</v>
      </c>
      <c r="C12" s="34">
        <v>3</v>
      </c>
      <c r="K12" s="34">
        <v>3</v>
      </c>
    </row>
    <row r="13" spans="1:12" ht="15" thickBot="1">
      <c r="A13" s="2307" t="s">
        <v>1924</v>
      </c>
      <c r="B13" s="34">
        <v>10</v>
      </c>
      <c r="C13" s="34">
        <v>10</v>
      </c>
      <c r="K13" s="34">
        <v>10</v>
      </c>
    </row>
    <row r="14" spans="1:12" ht="15" thickBot="1">
      <c r="A14" s="2306" t="s">
        <v>1925</v>
      </c>
      <c r="B14" s="34">
        <v>10</v>
      </c>
      <c r="C14" s="34">
        <v>10</v>
      </c>
      <c r="K14" s="34">
        <v>10</v>
      </c>
    </row>
    <row r="15" spans="1:12" ht="15" thickBot="1">
      <c r="A15" s="2307" t="s">
        <v>1985</v>
      </c>
      <c r="B15" s="34">
        <v>13</v>
      </c>
      <c r="C15" s="34">
        <v>13</v>
      </c>
      <c r="K15" s="34">
        <v>13</v>
      </c>
    </row>
    <row r="16" spans="1:12" ht="15" thickBot="1">
      <c r="A16" s="2306" t="s">
        <v>2161</v>
      </c>
      <c r="B16" s="34">
        <v>4</v>
      </c>
      <c r="C16" s="34">
        <v>4</v>
      </c>
      <c r="K16" s="34">
        <v>4</v>
      </c>
    </row>
    <row r="17" spans="1:22" ht="15" thickBot="1">
      <c r="A17" s="2307" t="s">
        <v>2074</v>
      </c>
      <c r="B17" s="34">
        <v>5</v>
      </c>
      <c r="C17" s="34">
        <v>5</v>
      </c>
      <c r="K17" s="34">
        <v>5</v>
      </c>
    </row>
    <row r="18" spans="1:22" ht="14.25">
      <c r="A18" s="2306" t="s">
        <v>2078</v>
      </c>
      <c r="B18" s="34">
        <v>10</v>
      </c>
      <c r="K18" s="34">
        <v>10</v>
      </c>
    </row>
    <row r="19" spans="1:22" ht="15" customHeight="1">
      <c r="A19" s="2307" t="s">
        <v>2081</v>
      </c>
      <c r="B19" s="34">
        <v>1</v>
      </c>
      <c r="C19" s="34">
        <v>1</v>
      </c>
      <c r="K19" s="34">
        <v>1</v>
      </c>
      <c r="M19" s="4215" t="s">
        <v>1534</v>
      </c>
      <c r="N19" s="4216"/>
      <c r="O19" s="4216"/>
      <c r="P19" s="4216"/>
      <c r="Q19" s="4216"/>
      <c r="R19" s="4216"/>
      <c r="S19" s="4216"/>
      <c r="T19" s="4216"/>
      <c r="U19" s="2826"/>
      <c r="V19" s="2827"/>
    </row>
    <row r="20" spans="1:22" ht="14.25">
      <c r="A20" s="2306" t="s">
        <v>2084</v>
      </c>
      <c r="B20" s="34">
        <v>1</v>
      </c>
      <c r="K20" s="34">
        <v>1</v>
      </c>
      <c r="M20" s="2828" t="s">
        <v>1536</v>
      </c>
      <c r="N20" s="2828"/>
      <c r="O20" s="2828"/>
      <c r="P20" s="2828"/>
      <c r="Q20" s="2828"/>
      <c r="R20" s="2828"/>
      <c r="S20" s="2828"/>
      <c r="T20" s="2828"/>
      <c r="U20" s="2828"/>
      <c r="V20" s="2829" t="s">
        <v>1806</v>
      </c>
    </row>
    <row r="21" spans="1:22" ht="15">
      <c r="A21" s="2307" t="s">
        <v>2087</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25">
      <c r="A22" s="2306" t="s">
        <v>2091</v>
      </c>
      <c r="B22" s="34">
        <v>2</v>
      </c>
      <c r="D22" s="34">
        <v>2</v>
      </c>
      <c r="G22" s="34">
        <v>2</v>
      </c>
      <c r="H22" s="34">
        <v>2</v>
      </c>
      <c r="I22" s="34">
        <v>2</v>
      </c>
      <c r="J22" s="34">
        <v>2</v>
      </c>
      <c r="K22" s="34">
        <v>2</v>
      </c>
    </row>
    <row r="23" spans="1:22" ht="15" thickBot="1">
      <c r="A23" s="2307" t="s">
        <v>2095</v>
      </c>
      <c r="B23" s="34">
        <v>2.5</v>
      </c>
      <c r="D23" s="34">
        <v>2.5</v>
      </c>
      <c r="G23" s="34">
        <v>2</v>
      </c>
      <c r="H23" s="34">
        <v>2</v>
      </c>
      <c r="I23" s="34">
        <v>2</v>
      </c>
      <c r="J23" s="34">
        <v>2</v>
      </c>
      <c r="K23" s="34">
        <v>2</v>
      </c>
    </row>
    <row r="24" spans="1:22" ht="15" thickBot="1">
      <c r="A24" s="2306" t="s">
        <v>2098</v>
      </c>
      <c r="D24" s="34">
        <v>42</v>
      </c>
      <c r="E24" s="34">
        <v>42</v>
      </c>
      <c r="F24" s="34">
        <v>32</v>
      </c>
      <c r="G24" s="34">
        <v>42</v>
      </c>
      <c r="H24" s="34">
        <v>36</v>
      </c>
      <c r="I24" s="34">
        <v>36</v>
      </c>
      <c r="J24" s="34">
        <v>42</v>
      </c>
    </row>
    <row r="26" spans="1:22" s="6" customFormat="1">
      <c r="A26" s="2309" t="s">
        <v>2162</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2.75"/>
  <cols>
    <col min="1" max="1" width="12.140625" style="2319" customWidth="1"/>
    <col min="2" max="2" width="29.140625" style="2319" customWidth="1"/>
    <col min="3" max="3" width="14.140625" style="2319" customWidth="1"/>
    <col min="4" max="4" width="62" style="2319" customWidth="1"/>
    <col min="5" max="5" width="33.140625" style="2319" customWidth="1"/>
    <col min="6" max="256" width="8.85546875" style="83"/>
    <col min="257" max="257" width="12.140625" style="83" customWidth="1"/>
    <col min="258" max="258" width="29.140625" style="83" customWidth="1"/>
    <col min="259" max="259" width="14.140625" style="83" customWidth="1"/>
    <col min="260" max="260" width="62" style="83" customWidth="1"/>
    <col min="261" max="261" width="33.140625" style="83" customWidth="1"/>
    <col min="262" max="512" width="8.85546875" style="83"/>
    <col min="513" max="513" width="12.140625" style="83" customWidth="1"/>
    <col min="514" max="514" width="29.140625" style="83" customWidth="1"/>
    <col min="515" max="515" width="14.140625" style="83" customWidth="1"/>
    <col min="516" max="516" width="62" style="83" customWidth="1"/>
    <col min="517" max="517" width="33.140625" style="83" customWidth="1"/>
    <col min="518" max="768" width="8.85546875" style="83"/>
    <col min="769" max="769" width="12.140625" style="83" customWidth="1"/>
    <col min="770" max="770" width="29.140625" style="83" customWidth="1"/>
    <col min="771" max="771" width="14.140625" style="83" customWidth="1"/>
    <col min="772" max="772" width="62" style="83" customWidth="1"/>
    <col min="773" max="773" width="33.140625" style="83" customWidth="1"/>
    <col min="774" max="1024" width="8.85546875" style="83"/>
    <col min="1025" max="1025" width="12.140625" style="83" customWidth="1"/>
    <col min="1026" max="1026" width="29.140625" style="83" customWidth="1"/>
    <col min="1027" max="1027" width="14.140625" style="83" customWidth="1"/>
    <col min="1028" max="1028" width="62" style="83" customWidth="1"/>
    <col min="1029" max="1029" width="33.140625" style="83" customWidth="1"/>
    <col min="1030" max="1280" width="8.85546875" style="83"/>
    <col min="1281" max="1281" width="12.140625" style="83" customWidth="1"/>
    <col min="1282" max="1282" width="29.140625" style="83" customWidth="1"/>
    <col min="1283" max="1283" width="14.140625" style="83" customWidth="1"/>
    <col min="1284" max="1284" width="62" style="83" customWidth="1"/>
    <col min="1285" max="1285" width="33.140625" style="83" customWidth="1"/>
    <col min="1286" max="1536" width="8.85546875" style="83"/>
    <col min="1537" max="1537" width="12.140625" style="83" customWidth="1"/>
    <col min="1538" max="1538" width="29.140625" style="83" customWidth="1"/>
    <col min="1539" max="1539" width="14.140625" style="83" customWidth="1"/>
    <col min="1540" max="1540" width="62" style="83" customWidth="1"/>
    <col min="1541" max="1541" width="33.140625" style="83" customWidth="1"/>
    <col min="1542" max="1792" width="8.85546875" style="83"/>
    <col min="1793" max="1793" width="12.140625" style="83" customWidth="1"/>
    <col min="1794" max="1794" width="29.140625" style="83" customWidth="1"/>
    <col min="1795" max="1795" width="14.140625" style="83" customWidth="1"/>
    <col min="1796" max="1796" width="62" style="83" customWidth="1"/>
    <col min="1797" max="1797" width="33.140625" style="83" customWidth="1"/>
    <col min="1798" max="2048" width="8.85546875" style="83"/>
    <col min="2049" max="2049" width="12.140625" style="83" customWidth="1"/>
    <col min="2050" max="2050" width="29.140625" style="83" customWidth="1"/>
    <col min="2051" max="2051" width="14.140625" style="83" customWidth="1"/>
    <col min="2052" max="2052" width="62" style="83" customWidth="1"/>
    <col min="2053" max="2053" width="33.140625" style="83" customWidth="1"/>
    <col min="2054" max="2304" width="8.85546875" style="83"/>
    <col min="2305" max="2305" width="12.140625" style="83" customWidth="1"/>
    <col min="2306" max="2306" width="29.140625" style="83" customWidth="1"/>
    <col min="2307" max="2307" width="14.140625" style="83" customWidth="1"/>
    <col min="2308" max="2308" width="62" style="83" customWidth="1"/>
    <col min="2309" max="2309" width="33.140625" style="83" customWidth="1"/>
    <col min="2310" max="2560" width="8.85546875" style="83"/>
    <col min="2561" max="2561" width="12.140625" style="83" customWidth="1"/>
    <col min="2562" max="2562" width="29.140625" style="83" customWidth="1"/>
    <col min="2563" max="2563" width="14.140625" style="83" customWidth="1"/>
    <col min="2564" max="2564" width="62" style="83" customWidth="1"/>
    <col min="2565" max="2565" width="33.140625" style="83" customWidth="1"/>
    <col min="2566" max="2816" width="8.85546875" style="83"/>
    <col min="2817" max="2817" width="12.140625" style="83" customWidth="1"/>
    <col min="2818" max="2818" width="29.140625" style="83" customWidth="1"/>
    <col min="2819" max="2819" width="14.140625" style="83" customWidth="1"/>
    <col min="2820" max="2820" width="62" style="83" customWidth="1"/>
    <col min="2821" max="2821" width="33.140625" style="83" customWidth="1"/>
    <col min="2822" max="3072" width="8.85546875" style="83"/>
    <col min="3073" max="3073" width="12.140625" style="83" customWidth="1"/>
    <col min="3074" max="3074" width="29.140625" style="83" customWidth="1"/>
    <col min="3075" max="3075" width="14.140625" style="83" customWidth="1"/>
    <col min="3076" max="3076" width="62" style="83" customWidth="1"/>
    <col min="3077" max="3077" width="33.140625" style="83" customWidth="1"/>
    <col min="3078" max="3328" width="8.85546875" style="83"/>
    <col min="3329" max="3329" width="12.140625" style="83" customWidth="1"/>
    <col min="3330" max="3330" width="29.140625" style="83" customWidth="1"/>
    <col min="3331" max="3331" width="14.140625" style="83" customWidth="1"/>
    <col min="3332" max="3332" width="62" style="83" customWidth="1"/>
    <col min="3333" max="3333" width="33.140625" style="83" customWidth="1"/>
    <col min="3334" max="3584" width="8.85546875" style="83"/>
    <col min="3585" max="3585" width="12.140625" style="83" customWidth="1"/>
    <col min="3586" max="3586" width="29.140625" style="83" customWidth="1"/>
    <col min="3587" max="3587" width="14.140625" style="83" customWidth="1"/>
    <col min="3588" max="3588" width="62" style="83" customWidth="1"/>
    <col min="3589" max="3589" width="33.140625" style="83" customWidth="1"/>
    <col min="3590" max="3840" width="8.85546875" style="83"/>
    <col min="3841" max="3841" width="12.140625" style="83" customWidth="1"/>
    <col min="3842" max="3842" width="29.140625" style="83" customWidth="1"/>
    <col min="3843" max="3843" width="14.140625" style="83" customWidth="1"/>
    <col min="3844" max="3844" width="62" style="83" customWidth="1"/>
    <col min="3845" max="3845" width="33.140625" style="83" customWidth="1"/>
    <col min="3846" max="4096" width="8.85546875" style="83"/>
    <col min="4097" max="4097" width="12.140625" style="83" customWidth="1"/>
    <col min="4098" max="4098" width="29.140625" style="83" customWidth="1"/>
    <col min="4099" max="4099" width="14.140625" style="83" customWidth="1"/>
    <col min="4100" max="4100" width="62" style="83" customWidth="1"/>
    <col min="4101" max="4101" width="33.140625" style="83" customWidth="1"/>
    <col min="4102" max="4352" width="8.85546875" style="83"/>
    <col min="4353" max="4353" width="12.140625" style="83" customWidth="1"/>
    <col min="4354" max="4354" width="29.140625" style="83" customWidth="1"/>
    <col min="4355" max="4355" width="14.140625" style="83" customWidth="1"/>
    <col min="4356" max="4356" width="62" style="83" customWidth="1"/>
    <col min="4357" max="4357" width="33.140625" style="83" customWidth="1"/>
    <col min="4358" max="4608" width="8.85546875" style="83"/>
    <col min="4609" max="4609" width="12.140625" style="83" customWidth="1"/>
    <col min="4610" max="4610" width="29.140625" style="83" customWidth="1"/>
    <col min="4611" max="4611" width="14.140625" style="83" customWidth="1"/>
    <col min="4612" max="4612" width="62" style="83" customWidth="1"/>
    <col min="4613" max="4613" width="33.140625" style="83" customWidth="1"/>
    <col min="4614" max="4864" width="8.85546875" style="83"/>
    <col min="4865" max="4865" width="12.140625" style="83" customWidth="1"/>
    <col min="4866" max="4866" width="29.140625" style="83" customWidth="1"/>
    <col min="4867" max="4867" width="14.140625" style="83" customWidth="1"/>
    <col min="4868" max="4868" width="62" style="83" customWidth="1"/>
    <col min="4869" max="4869" width="33.140625" style="83" customWidth="1"/>
    <col min="4870" max="5120" width="8.85546875" style="83"/>
    <col min="5121" max="5121" width="12.140625" style="83" customWidth="1"/>
    <col min="5122" max="5122" width="29.140625" style="83" customWidth="1"/>
    <col min="5123" max="5123" width="14.140625" style="83" customWidth="1"/>
    <col min="5124" max="5124" width="62" style="83" customWidth="1"/>
    <col min="5125" max="5125" width="33.140625" style="83" customWidth="1"/>
    <col min="5126" max="5376" width="8.85546875" style="83"/>
    <col min="5377" max="5377" width="12.140625" style="83" customWidth="1"/>
    <col min="5378" max="5378" width="29.140625" style="83" customWidth="1"/>
    <col min="5379" max="5379" width="14.140625" style="83" customWidth="1"/>
    <col min="5380" max="5380" width="62" style="83" customWidth="1"/>
    <col min="5381" max="5381" width="33.140625" style="83" customWidth="1"/>
    <col min="5382" max="5632" width="8.85546875" style="83"/>
    <col min="5633" max="5633" width="12.140625" style="83" customWidth="1"/>
    <col min="5634" max="5634" width="29.140625" style="83" customWidth="1"/>
    <col min="5635" max="5635" width="14.140625" style="83" customWidth="1"/>
    <col min="5636" max="5636" width="62" style="83" customWidth="1"/>
    <col min="5637" max="5637" width="33.140625" style="83" customWidth="1"/>
    <col min="5638" max="5888" width="8.85546875" style="83"/>
    <col min="5889" max="5889" width="12.140625" style="83" customWidth="1"/>
    <col min="5890" max="5890" width="29.140625" style="83" customWidth="1"/>
    <col min="5891" max="5891" width="14.140625" style="83" customWidth="1"/>
    <col min="5892" max="5892" width="62" style="83" customWidth="1"/>
    <col min="5893" max="5893" width="33.140625" style="83" customWidth="1"/>
    <col min="5894" max="6144" width="8.85546875" style="83"/>
    <col min="6145" max="6145" width="12.140625" style="83" customWidth="1"/>
    <col min="6146" max="6146" width="29.140625" style="83" customWidth="1"/>
    <col min="6147" max="6147" width="14.140625" style="83" customWidth="1"/>
    <col min="6148" max="6148" width="62" style="83" customWidth="1"/>
    <col min="6149" max="6149" width="33.140625" style="83" customWidth="1"/>
    <col min="6150" max="6400" width="8.85546875" style="83"/>
    <col min="6401" max="6401" width="12.140625" style="83" customWidth="1"/>
    <col min="6402" max="6402" width="29.140625" style="83" customWidth="1"/>
    <col min="6403" max="6403" width="14.140625" style="83" customWidth="1"/>
    <col min="6404" max="6404" width="62" style="83" customWidth="1"/>
    <col min="6405" max="6405" width="33.140625" style="83" customWidth="1"/>
    <col min="6406" max="6656" width="8.85546875" style="83"/>
    <col min="6657" max="6657" width="12.140625" style="83" customWidth="1"/>
    <col min="6658" max="6658" width="29.140625" style="83" customWidth="1"/>
    <col min="6659" max="6659" width="14.140625" style="83" customWidth="1"/>
    <col min="6660" max="6660" width="62" style="83" customWidth="1"/>
    <col min="6661" max="6661" width="33.140625" style="83" customWidth="1"/>
    <col min="6662" max="6912" width="8.85546875" style="83"/>
    <col min="6913" max="6913" width="12.140625" style="83" customWidth="1"/>
    <col min="6914" max="6914" width="29.140625" style="83" customWidth="1"/>
    <col min="6915" max="6915" width="14.140625" style="83" customWidth="1"/>
    <col min="6916" max="6916" width="62" style="83" customWidth="1"/>
    <col min="6917" max="6917" width="33.140625" style="83" customWidth="1"/>
    <col min="6918" max="7168" width="8.85546875" style="83"/>
    <col min="7169" max="7169" width="12.140625" style="83" customWidth="1"/>
    <col min="7170" max="7170" width="29.140625" style="83" customWidth="1"/>
    <col min="7171" max="7171" width="14.140625" style="83" customWidth="1"/>
    <col min="7172" max="7172" width="62" style="83" customWidth="1"/>
    <col min="7173" max="7173" width="33.140625" style="83" customWidth="1"/>
    <col min="7174" max="7424" width="8.85546875" style="83"/>
    <col min="7425" max="7425" width="12.140625" style="83" customWidth="1"/>
    <col min="7426" max="7426" width="29.140625" style="83" customWidth="1"/>
    <col min="7427" max="7427" width="14.140625" style="83" customWidth="1"/>
    <col min="7428" max="7428" width="62" style="83" customWidth="1"/>
    <col min="7429" max="7429" width="33.140625" style="83" customWidth="1"/>
    <col min="7430" max="7680" width="8.85546875" style="83"/>
    <col min="7681" max="7681" width="12.140625" style="83" customWidth="1"/>
    <col min="7682" max="7682" width="29.140625" style="83" customWidth="1"/>
    <col min="7683" max="7683" width="14.140625" style="83" customWidth="1"/>
    <col min="7684" max="7684" width="62" style="83" customWidth="1"/>
    <col min="7685" max="7685" width="33.140625" style="83" customWidth="1"/>
    <col min="7686" max="7936" width="8.85546875" style="83"/>
    <col min="7937" max="7937" width="12.140625" style="83" customWidth="1"/>
    <col min="7938" max="7938" width="29.140625" style="83" customWidth="1"/>
    <col min="7939" max="7939" width="14.140625" style="83" customWidth="1"/>
    <col min="7940" max="7940" width="62" style="83" customWidth="1"/>
    <col min="7941" max="7941" width="33.140625" style="83" customWidth="1"/>
    <col min="7942" max="8192" width="8.85546875" style="83"/>
    <col min="8193" max="8193" width="12.140625" style="83" customWidth="1"/>
    <col min="8194" max="8194" width="29.140625" style="83" customWidth="1"/>
    <col min="8195" max="8195" width="14.140625" style="83" customWidth="1"/>
    <col min="8196" max="8196" width="62" style="83" customWidth="1"/>
    <col min="8197" max="8197" width="33.140625" style="83" customWidth="1"/>
    <col min="8198" max="8448" width="8.85546875" style="83"/>
    <col min="8449" max="8449" width="12.140625" style="83" customWidth="1"/>
    <col min="8450" max="8450" width="29.140625" style="83" customWidth="1"/>
    <col min="8451" max="8451" width="14.140625" style="83" customWidth="1"/>
    <col min="8452" max="8452" width="62" style="83" customWidth="1"/>
    <col min="8453" max="8453" width="33.140625" style="83" customWidth="1"/>
    <col min="8454" max="8704" width="8.85546875" style="83"/>
    <col min="8705" max="8705" width="12.140625" style="83" customWidth="1"/>
    <col min="8706" max="8706" width="29.140625" style="83" customWidth="1"/>
    <col min="8707" max="8707" width="14.140625" style="83" customWidth="1"/>
    <col min="8708" max="8708" width="62" style="83" customWidth="1"/>
    <col min="8709" max="8709" width="33.140625" style="83" customWidth="1"/>
    <col min="8710" max="8960" width="8.85546875" style="83"/>
    <col min="8961" max="8961" width="12.140625" style="83" customWidth="1"/>
    <col min="8962" max="8962" width="29.140625" style="83" customWidth="1"/>
    <col min="8963" max="8963" width="14.140625" style="83" customWidth="1"/>
    <col min="8964" max="8964" width="62" style="83" customWidth="1"/>
    <col min="8965" max="8965" width="33.140625" style="83" customWidth="1"/>
    <col min="8966" max="9216" width="8.85546875" style="83"/>
    <col min="9217" max="9217" width="12.140625" style="83" customWidth="1"/>
    <col min="9218" max="9218" width="29.140625" style="83" customWidth="1"/>
    <col min="9219" max="9219" width="14.140625" style="83" customWidth="1"/>
    <col min="9220" max="9220" width="62" style="83" customWidth="1"/>
    <col min="9221" max="9221" width="33.140625" style="83" customWidth="1"/>
    <col min="9222" max="9472" width="8.85546875" style="83"/>
    <col min="9473" max="9473" width="12.140625" style="83" customWidth="1"/>
    <col min="9474" max="9474" width="29.140625" style="83" customWidth="1"/>
    <col min="9475" max="9475" width="14.140625" style="83" customWidth="1"/>
    <col min="9476" max="9476" width="62" style="83" customWidth="1"/>
    <col min="9477" max="9477" width="33.140625" style="83" customWidth="1"/>
    <col min="9478" max="9728" width="8.85546875" style="83"/>
    <col min="9729" max="9729" width="12.140625" style="83" customWidth="1"/>
    <col min="9730" max="9730" width="29.140625" style="83" customWidth="1"/>
    <col min="9731" max="9731" width="14.140625" style="83" customWidth="1"/>
    <col min="9732" max="9732" width="62" style="83" customWidth="1"/>
    <col min="9733" max="9733" width="33.140625" style="83" customWidth="1"/>
    <col min="9734" max="9984" width="8.85546875" style="83"/>
    <col min="9985" max="9985" width="12.140625" style="83" customWidth="1"/>
    <col min="9986" max="9986" width="29.140625" style="83" customWidth="1"/>
    <col min="9987" max="9987" width="14.140625" style="83" customWidth="1"/>
    <col min="9988" max="9988" width="62" style="83" customWidth="1"/>
    <col min="9989" max="9989" width="33.140625" style="83" customWidth="1"/>
    <col min="9990" max="10240" width="8.85546875" style="83"/>
    <col min="10241" max="10241" width="12.140625" style="83" customWidth="1"/>
    <col min="10242" max="10242" width="29.140625" style="83" customWidth="1"/>
    <col min="10243" max="10243" width="14.140625" style="83" customWidth="1"/>
    <col min="10244" max="10244" width="62" style="83" customWidth="1"/>
    <col min="10245" max="10245" width="33.140625" style="83" customWidth="1"/>
    <col min="10246" max="10496" width="8.85546875" style="83"/>
    <col min="10497" max="10497" width="12.140625" style="83" customWidth="1"/>
    <col min="10498" max="10498" width="29.140625" style="83" customWidth="1"/>
    <col min="10499" max="10499" width="14.140625" style="83" customWidth="1"/>
    <col min="10500" max="10500" width="62" style="83" customWidth="1"/>
    <col min="10501" max="10501" width="33.140625" style="83" customWidth="1"/>
    <col min="10502" max="10752" width="8.85546875" style="83"/>
    <col min="10753" max="10753" width="12.140625" style="83" customWidth="1"/>
    <col min="10754" max="10754" width="29.140625" style="83" customWidth="1"/>
    <col min="10755" max="10755" width="14.140625" style="83" customWidth="1"/>
    <col min="10756" max="10756" width="62" style="83" customWidth="1"/>
    <col min="10757" max="10757" width="33.140625" style="83" customWidth="1"/>
    <col min="10758" max="11008" width="8.85546875" style="83"/>
    <col min="11009" max="11009" width="12.140625" style="83" customWidth="1"/>
    <col min="11010" max="11010" width="29.140625" style="83" customWidth="1"/>
    <col min="11011" max="11011" width="14.140625" style="83" customWidth="1"/>
    <col min="11012" max="11012" width="62" style="83" customWidth="1"/>
    <col min="11013" max="11013" width="33.140625" style="83" customWidth="1"/>
    <col min="11014" max="11264" width="8.85546875" style="83"/>
    <col min="11265" max="11265" width="12.140625" style="83" customWidth="1"/>
    <col min="11266" max="11266" width="29.140625" style="83" customWidth="1"/>
    <col min="11267" max="11267" width="14.140625" style="83" customWidth="1"/>
    <col min="11268" max="11268" width="62" style="83" customWidth="1"/>
    <col min="11269" max="11269" width="33.140625" style="83" customWidth="1"/>
    <col min="11270" max="11520" width="8.85546875" style="83"/>
    <col min="11521" max="11521" width="12.140625" style="83" customWidth="1"/>
    <col min="11522" max="11522" width="29.140625" style="83" customWidth="1"/>
    <col min="11523" max="11523" width="14.140625" style="83" customWidth="1"/>
    <col min="11524" max="11524" width="62" style="83" customWidth="1"/>
    <col min="11525" max="11525" width="33.140625" style="83" customWidth="1"/>
    <col min="11526" max="11776" width="8.85546875" style="83"/>
    <col min="11777" max="11777" width="12.140625" style="83" customWidth="1"/>
    <col min="11778" max="11778" width="29.140625" style="83" customWidth="1"/>
    <col min="11779" max="11779" width="14.140625" style="83" customWidth="1"/>
    <col min="11780" max="11780" width="62" style="83" customWidth="1"/>
    <col min="11781" max="11781" width="33.140625" style="83" customWidth="1"/>
    <col min="11782" max="12032" width="8.85546875" style="83"/>
    <col min="12033" max="12033" width="12.140625" style="83" customWidth="1"/>
    <col min="12034" max="12034" width="29.140625" style="83" customWidth="1"/>
    <col min="12035" max="12035" width="14.140625" style="83" customWidth="1"/>
    <col min="12036" max="12036" width="62" style="83" customWidth="1"/>
    <col min="12037" max="12037" width="33.140625" style="83" customWidth="1"/>
    <col min="12038" max="12288" width="8.85546875" style="83"/>
    <col min="12289" max="12289" width="12.140625" style="83" customWidth="1"/>
    <col min="12290" max="12290" width="29.140625" style="83" customWidth="1"/>
    <col min="12291" max="12291" width="14.140625" style="83" customWidth="1"/>
    <col min="12292" max="12292" width="62" style="83" customWidth="1"/>
    <col min="12293" max="12293" width="33.140625" style="83" customWidth="1"/>
    <col min="12294" max="12544" width="8.85546875" style="83"/>
    <col min="12545" max="12545" width="12.140625" style="83" customWidth="1"/>
    <col min="12546" max="12546" width="29.140625" style="83" customWidth="1"/>
    <col min="12547" max="12547" width="14.140625" style="83" customWidth="1"/>
    <col min="12548" max="12548" width="62" style="83" customWidth="1"/>
    <col min="12549" max="12549" width="33.140625" style="83" customWidth="1"/>
    <col min="12550" max="12800" width="8.85546875" style="83"/>
    <col min="12801" max="12801" width="12.140625" style="83" customWidth="1"/>
    <col min="12802" max="12802" width="29.140625" style="83" customWidth="1"/>
    <col min="12803" max="12803" width="14.140625" style="83" customWidth="1"/>
    <col min="12804" max="12804" width="62" style="83" customWidth="1"/>
    <col min="12805" max="12805" width="33.140625" style="83" customWidth="1"/>
    <col min="12806" max="13056" width="8.85546875" style="83"/>
    <col min="13057" max="13057" width="12.140625" style="83" customWidth="1"/>
    <col min="13058" max="13058" width="29.140625" style="83" customWidth="1"/>
    <col min="13059" max="13059" width="14.140625" style="83" customWidth="1"/>
    <col min="13060" max="13060" width="62" style="83" customWidth="1"/>
    <col min="13061" max="13061" width="33.140625" style="83" customWidth="1"/>
    <col min="13062" max="13312" width="8.85546875" style="83"/>
    <col min="13313" max="13313" width="12.140625" style="83" customWidth="1"/>
    <col min="13314" max="13314" width="29.140625" style="83" customWidth="1"/>
    <col min="13315" max="13315" width="14.140625" style="83" customWidth="1"/>
    <col min="13316" max="13316" width="62" style="83" customWidth="1"/>
    <col min="13317" max="13317" width="33.140625" style="83" customWidth="1"/>
    <col min="13318" max="13568" width="8.85546875" style="83"/>
    <col min="13569" max="13569" width="12.140625" style="83" customWidth="1"/>
    <col min="13570" max="13570" width="29.140625" style="83" customWidth="1"/>
    <col min="13571" max="13571" width="14.140625" style="83" customWidth="1"/>
    <col min="13572" max="13572" width="62" style="83" customWidth="1"/>
    <col min="13573" max="13573" width="33.140625" style="83" customWidth="1"/>
    <col min="13574" max="13824" width="8.85546875" style="83"/>
    <col min="13825" max="13825" width="12.140625" style="83" customWidth="1"/>
    <col min="13826" max="13826" width="29.140625" style="83" customWidth="1"/>
    <col min="13827" max="13827" width="14.140625" style="83" customWidth="1"/>
    <col min="13828" max="13828" width="62" style="83" customWidth="1"/>
    <col min="13829" max="13829" width="33.140625" style="83" customWidth="1"/>
    <col min="13830" max="14080" width="8.85546875" style="83"/>
    <col min="14081" max="14081" width="12.140625" style="83" customWidth="1"/>
    <col min="14082" max="14082" width="29.140625" style="83" customWidth="1"/>
    <col min="14083" max="14083" width="14.140625" style="83" customWidth="1"/>
    <col min="14084" max="14084" width="62" style="83" customWidth="1"/>
    <col min="14085" max="14085" width="33.140625" style="83" customWidth="1"/>
    <col min="14086" max="14336" width="8.85546875" style="83"/>
    <col min="14337" max="14337" width="12.140625" style="83" customWidth="1"/>
    <col min="14338" max="14338" width="29.140625" style="83" customWidth="1"/>
    <col min="14339" max="14339" width="14.140625" style="83" customWidth="1"/>
    <col min="14340" max="14340" width="62" style="83" customWidth="1"/>
    <col min="14341" max="14341" width="33.140625" style="83" customWidth="1"/>
    <col min="14342" max="14592" width="8.85546875" style="83"/>
    <col min="14593" max="14593" width="12.140625" style="83" customWidth="1"/>
    <col min="14594" max="14594" width="29.140625" style="83" customWidth="1"/>
    <col min="14595" max="14595" width="14.140625" style="83" customWidth="1"/>
    <col min="14596" max="14596" width="62" style="83" customWidth="1"/>
    <col min="14597" max="14597" width="33.140625" style="83" customWidth="1"/>
    <col min="14598" max="14848" width="8.85546875" style="83"/>
    <col min="14849" max="14849" width="12.140625" style="83" customWidth="1"/>
    <col min="14850" max="14850" width="29.140625" style="83" customWidth="1"/>
    <col min="14851" max="14851" width="14.140625" style="83" customWidth="1"/>
    <col min="14852" max="14852" width="62" style="83" customWidth="1"/>
    <col min="14853" max="14853" width="33.140625" style="83" customWidth="1"/>
    <col min="14854" max="15104" width="8.85546875" style="83"/>
    <col min="15105" max="15105" width="12.140625" style="83" customWidth="1"/>
    <col min="15106" max="15106" width="29.140625" style="83" customWidth="1"/>
    <col min="15107" max="15107" width="14.140625" style="83" customWidth="1"/>
    <col min="15108" max="15108" width="62" style="83" customWidth="1"/>
    <col min="15109" max="15109" width="33.140625" style="83" customWidth="1"/>
    <col min="15110" max="15360" width="8.85546875" style="83"/>
    <col min="15361" max="15361" width="12.140625" style="83" customWidth="1"/>
    <col min="15362" max="15362" width="29.140625" style="83" customWidth="1"/>
    <col min="15363" max="15363" width="14.140625" style="83" customWidth="1"/>
    <col min="15364" max="15364" width="62" style="83" customWidth="1"/>
    <col min="15365" max="15365" width="33.140625" style="83" customWidth="1"/>
    <col min="15366" max="15616" width="8.85546875" style="83"/>
    <col min="15617" max="15617" width="12.140625" style="83" customWidth="1"/>
    <col min="15618" max="15618" width="29.140625" style="83" customWidth="1"/>
    <col min="15619" max="15619" width="14.140625" style="83" customWidth="1"/>
    <col min="15620" max="15620" width="62" style="83" customWidth="1"/>
    <col min="15621" max="15621" width="33.140625" style="83" customWidth="1"/>
    <col min="15622" max="15872" width="8.85546875" style="83"/>
    <col min="15873" max="15873" width="12.140625" style="83" customWidth="1"/>
    <col min="15874" max="15874" width="29.140625" style="83" customWidth="1"/>
    <col min="15875" max="15875" width="14.140625" style="83" customWidth="1"/>
    <col min="15876" max="15876" width="62" style="83" customWidth="1"/>
    <col min="15877" max="15877" width="33.140625" style="83" customWidth="1"/>
    <col min="15878" max="16128" width="8.85546875" style="83"/>
    <col min="16129" max="16129" width="12.140625" style="83" customWidth="1"/>
    <col min="16130" max="16130" width="29.140625" style="83" customWidth="1"/>
    <col min="16131" max="16131" width="14.140625" style="83" customWidth="1"/>
    <col min="16132" max="16132" width="62" style="83" customWidth="1"/>
    <col min="16133" max="16133" width="33.140625" style="83" customWidth="1"/>
    <col min="16134" max="16384" width="8.85546875" style="83"/>
  </cols>
  <sheetData>
    <row r="1" spans="1:5">
      <c r="A1" s="2830" t="s">
        <v>1872</v>
      </c>
      <c r="B1" s="2830" t="s">
        <v>1874</v>
      </c>
      <c r="C1" s="2830" t="s">
        <v>1873</v>
      </c>
      <c r="D1" s="2830" t="s">
        <v>1875</v>
      </c>
      <c r="E1" s="2830" t="s">
        <v>2163</v>
      </c>
    </row>
    <row r="2" spans="1:5">
      <c r="A2" s="2831">
        <v>601</v>
      </c>
      <c r="B2" s="2831" t="s">
        <v>2164</v>
      </c>
      <c r="C2" s="2831">
        <v>1050</v>
      </c>
      <c r="D2" s="2831" t="s">
        <v>2165</v>
      </c>
      <c r="E2" s="2831" t="s">
        <v>2166</v>
      </c>
    </row>
    <row r="3" spans="1:5">
      <c r="A3" s="2831">
        <v>601</v>
      </c>
      <c r="B3" s="2831" t="s">
        <v>2164</v>
      </c>
      <c r="C3" s="2831">
        <v>177</v>
      </c>
      <c r="D3" s="2831" t="s">
        <v>2167</v>
      </c>
      <c r="E3" s="2831" t="s">
        <v>2166</v>
      </c>
    </row>
    <row r="4" spans="1:5">
      <c r="A4" s="2831">
        <v>601</v>
      </c>
      <c r="B4" s="2831" t="s">
        <v>2164</v>
      </c>
      <c r="C4" s="2831">
        <v>103</v>
      </c>
      <c r="D4" s="2831" t="s">
        <v>2168</v>
      </c>
      <c r="E4" s="2831" t="s">
        <v>2169</v>
      </c>
    </row>
    <row r="5" spans="1:5">
      <c r="A5" s="2831">
        <v>601</v>
      </c>
      <c r="B5" s="2831" t="s">
        <v>2164</v>
      </c>
      <c r="C5" s="2831">
        <v>195</v>
      </c>
      <c r="D5" s="2831" t="s">
        <v>2170</v>
      </c>
      <c r="E5" s="2831" t="s">
        <v>2169</v>
      </c>
    </row>
    <row r="6" spans="1:5">
      <c r="A6" s="2831">
        <v>601</v>
      </c>
      <c r="B6" s="2831" t="s">
        <v>2164</v>
      </c>
      <c r="C6" s="2831">
        <v>5050</v>
      </c>
      <c r="D6" s="2831" t="s">
        <v>2171</v>
      </c>
      <c r="E6" s="2831" t="s">
        <v>2166</v>
      </c>
    </row>
    <row r="7" spans="1:5">
      <c r="A7" s="2831">
        <v>602</v>
      </c>
      <c r="B7" s="2831" t="s">
        <v>2172</v>
      </c>
      <c r="C7" s="2831">
        <v>103</v>
      </c>
      <c r="D7" s="2831" t="s">
        <v>2173</v>
      </c>
      <c r="E7" s="2831" t="s">
        <v>2174</v>
      </c>
    </row>
    <row r="8" spans="1:5">
      <c r="A8" s="2831">
        <v>602</v>
      </c>
      <c r="B8" s="2831" t="s">
        <v>2172</v>
      </c>
      <c r="C8" s="2831">
        <v>111</v>
      </c>
      <c r="D8" s="2831" t="s">
        <v>2175</v>
      </c>
      <c r="E8" s="2831" t="s">
        <v>2166</v>
      </c>
    </row>
    <row r="9" spans="1:5">
      <c r="A9" s="2831">
        <v>602</v>
      </c>
      <c r="B9" s="2831" t="s">
        <v>2172</v>
      </c>
      <c r="C9" s="2831">
        <v>190</v>
      </c>
      <c r="D9" s="2831" t="s">
        <v>2176</v>
      </c>
      <c r="E9" s="2831" t="s">
        <v>2174</v>
      </c>
    </row>
    <row r="10" spans="1:5">
      <c r="A10" s="2831">
        <v>602</v>
      </c>
      <c r="B10" s="2831" t="s">
        <v>2172</v>
      </c>
      <c r="C10" s="2831">
        <v>187</v>
      </c>
      <c r="D10" s="2831" t="s">
        <v>2177</v>
      </c>
      <c r="E10" s="2831" t="s">
        <v>2174</v>
      </c>
    </row>
    <row r="11" spans="1:5">
      <c r="A11" s="2831">
        <v>761</v>
      </c>
      <c r="B11" s="2831" t="s">
        <v>2178</v>
      </c>
      <c r="C11" s="2831">
        <v>415</v>
      </c>
      <c r="D11" s="2831" t="s">
        <v>2179</v>
      </c>
      <c r="E11" s="2831" t="s">
        <v>2166</v>
      </c>
    </row>
    <row r="12" spans="1:5">
      <c r="A12" s="2831">
        <v>761</v>
      </c>
      <c r="B12" s="2831" t="s">
        <v>2178</v>
      </c>
      <c r="C12" s="2831">
        <v>505</v>
      </c>
      <c r="D12" s="2831" t="s">
        <v>2180</v>
      </c>
      <c r="E12" s="2831" t="s">
        <v>2166</v>
      </c>
    </row>
    <row r="13" spans="1:5">
      <c r="A13" s="2831">
        <v>761</v>
      </c>
      <c r="B13" s="2831" t="s">
        <v>2178</v>
      </c>
      <c r="C13" s="2831">
        <v>206</v>
      </c>
      <c r="D13" s="2831" t="s">
        <v>2181</v>
      </c>
      <c r="E13" s="2831" t="s">
        <v>2166</v>
      </c>
    </row>
    <row r="14" spans="1:5">
      <c r="A14" s="2831">
        <v>761</v>
      </c>
      <c r="B14" s="2831" t="s">
        <v>2178</v>
      </c>
      <c r="C14" s="2831">
        <v>1411</v>
      </c>
      <c r="D14" s="2831" t="s">
        <v>2182</v>
      </c>
      <c r="E14" s="2831" t="s">
        <v>2166</v>
      </c>
    </row>
    <row r="15" spans="1:5">
      <c r="A15" s="2831">
        <v>761</v>
      </c>
      <c r="B15" s="2831" t="s">
        <v>2178</v>
      </c>
      <c r="C15" s="2831">
        <v>5066</v>
      </c>
      <c r="D15" s="2831" t="s">
        <v>2183</v>
      </c>
      <c r="E15" s="2831" t="s">
        <v>2174</v>
      </c>
    </row>
    <row r="16" spans="1:5">
      <c r="A16" s="2831">
        <v>761</v>
      </c>
      <c r="B16" s="2831" t="s">
        <v>2178</v>
      </c>
      <c r="C16" s="2831">
        <v>604</v>
      </c>
      <c r="D16" s="2831" t="s">
        <v>2184</v>
      </c>
      <c r="E16" s="2831" t="s">
        <v>2174</v>
      </c>
    </row>
    <row r="17" spans="1:5">
      <c r="A17" s="2831">
        <v>761</v>
      </c>
      <c r="B17" s="2831" t="s">
        <v>2178</v>
      </c>
      <c r="C17" s="2831">
        <v>3051</v>
      </c>
      <c r="D17" s="2831" t="s">
        <v>2185</v>
      </c>
      <c r="E17" s="2831" t="s">
        <v>2166</v>
      </c>
    </row>
    <row r="18" spans="1:5">
      <c r="A18" s="2831">
        <v>761</v>
      </c>
      <c r="B18" s="2831" t="s">
        <v>2178</v>
      </c>
      <c r="C18" s="2831">
        <v>182</v>
      </c>
      <c r="D18" s="2831" t="s">
        <v>2186</v>
      </c>
      <c r="E18" s="2831" t="s">
        <v>2174</v>
      </c>
    </row>
    <row r="19" spans="1:5">
      <c r="A19" s="2831">
        <v>761</v>
      </c>
      <c r="B19" s="2831" t="s">
        <v>2178</v>
      </c>
      <c r="C19" s="2831">
        <v>5051</v>
      </c>
      <c r="D19" s="2831" t="s">
        <v>2187</v>
      </c>
      <c r="E19" s="2831" t="s">
        <v>2169</v>
      </c>
    </row>
    <row r="20" spans="1:5">
      <c r="A20" s="2831">
        <v>761</v>
      </c>
      <c r="B20" s="2831" t="s">
        <v>2178</v>
      </c>
      <c r="C20" s="2831">
        <v>303</v>
      </c>
      <c r="D20" s="2831" t="s">
        <v>2188</v>
      </c>
      <c r="E20" s="2831" t="s">
        <v>2174</v>
      </c>
    </row>
    <row r="21" spans="1:5">
      <c r="A21" s="2831">
        <v>761</v>
      </c>
      <c r="B21" s="2831" t="s">
        <v>2178</v>
      </c>
      <c r="C21" s="2831">
        <v>315</v>
      </c>
      <c r="D21" s="2831" t="s">
        <v>2189</v>
      </c>
      <c r="E21" s="2831" t="s">
        <v>2169</v>
      </c>
    </row>
    <row r="22" spans="1:5">
      <c r="A22" s="2831">
        <v>761</v>
      </c>
      <c r="B22" s="2831" t="s">
        <v>2178</v>
      </c>
      <c r="C22" s="2831">
        <v>305</v>
      </c>
      <c r="D22" s="2831" t="s">
        <v>2190</v>
      </c>
      <c r="E22" s="2831" t="s">
        <v>2166</v>
      </c>
    </row>
    <row r="23" spans="1:5">
      <c r="A23" s="2831">
        <v>761</v>
      </c>
      <c r="B23" s="2831" t="s">
        <v>2178</v>
      </c>
      <c r="C23" s="2831">
        <v>1413</v>
      </c>
      <c r="D23" s="2831" t="s">
        <v>2191</v>
      </c>
      <c r="E23" s="2831" t="s">
        <v>2166</v>
      </c>
    </row>
    <row r="24" spans="1:5">
      <c r="A24" s="2831">
        <v>761</v>
      </c>
      <c r="B24" s="2831" t="s">
        <v>2178</v>
      </c>
      <c r="C24" s="2831">
        <v>106</v>
      </c>
      <c r="D24" s="2831" t="s">
        <v>2192</v>
      </c>
      <c r="E24" s="2831" t="s">
        <v>2166</v>
      </c>
    </row>
    <row r="25" spans="1:5">
      <c r="A25" s="2831">
        <v>761</v>
      </c>
      <c r="B25" s="2831" t="s">
        <v>2178</v>
      </c>
      <c r="C25" s="2831">
        <v>196</v>
      </c>
      <c r="D25" s="2831" t="s">
        <v>2193</v>
      </c>
      <c r="E25" s="2831" t="s">
        <v>2174</v>
      </c>
    </row>
    <row r="26" spans="1:5">
      <c r="A26" s="2831">
        <v>761</v>
      </c>
      <c r="B26" s="2831" t="s">
        <v>2178</v>
      </c>
      <c r="C26" s="2831">
        <v>199</v>
      </c>
      <c r="D26" s="2831" t="s">
        <v>2194</v>
      </c>
      <c r="E26" s="2831" t="s">
        <v>2174</v>
      </c>
    </row>
    <row r="27" spans="1:5">
      <c r="A27" s="2831">
        <v>761</v>
      </c>
      <c r="B27" s="2831" t="s">
        <v>2178</v>
      </c>
      <c r="C27" s="2831">
        <v>515</v>
      </c>
      <c r="D27" s="2831" t="s">
        <v>2195</v>
      </c>
      <c r="E27" s="2831" t="s">
        <v>2166</v>
      </c>
    </row>
    <row r="28" spans="1:5">
      <c r="A28" s="2831">
        <v>761</v>
      </c>
      <c r="B28" s="2831" t="s">
        <v>2178</v>
      </c>
      <c r="C28" s="2831">
        <v>2560</v>
      </c>
      <c r="D28" s="2831" t="s">
        <v>2196</v>
      </c>
      <c r="E28" s="2831" t="s">
        <v>2166</v>
      </c>
    </row>
    <row r="29" spans="1:5">
      <c r="A29" s="2831">
        <v>761</v>
      </c>
      <c r="B29" s="2831" t="s">
        <v>2178</v>
      </c>
      <c r="C29" s="2831">
        <v>201</v>
      </c>
      <c r="D29" s="2831" t="s">
        <v>2197</v>
      </c>
      <c r="E29" s="2831" t="s">
        <v>2174</v>
      </c>
    </row>
    <row r="30" spans="1:5">
      <c r="A30" s="2831">
        <v>761</v>
      </c>
      <c r="B30" s="2831" t="s">
        <v>2178</v>
      </c>
      <c r="C30" s="2831">
        <v>4056</v>
      </c>
      <c r="D30" s="2831" t="s">
        <v>2198</v>
      </c>
      <c r="E30" s="2831" t="s">
        <v>2166</v>
      </c>
    </row>
    <row r="31" spans="1:5">
      <c r="A31" s="2831">
        <v>761</v>
      </c>
      <c r="B31" s="2831" t="s">
        <v>2178</v>
      </c>
      <c r="C31" s="2831">
        <v>3057</v>
      </c>
      <c r="D31" s="2831" t="s">
        <v>2199</v>
      </c>
      <c r="E31" s="2831" t="s">
        <v>2166</v>
      </c>
    </row>
    <row r="32" spans="1:5">
      <c r="A32" s="2831">
        <v>761</v>
      </c>
      <c r="B32" s="2831" t="s">
        <v>2178</v>
      </c>
      <c r="C32" s="2831">
        <v>1410</v>
      </c>
      <c r="D32" s="2831" t="s">
        <v>2200</v>
      </c>
      <c r="E32" s="2831" t="s">
        <v>2174</v>
      </c>
    </row>
    <row r="33" spans="1:5">
      <c r="A33" s="2831">
        <v>761</v>
      </c>
      <c r="B33" s="2831" t="s">
        <v>2178</v>
      </c>
      <c r="C33" s="2831">
        <v>173</v>
      </c>
      <c r="D33" s="2831" t="s">
        <v>2201</v>
      </c>
      <c r="E33" s="2831" t="s">
        <v>2166</v>
      </c>
    </row>
    <row r="34" spans="1:5">
      <c r="A34" s="2831">
        <v>761</v>
      </c>
      <c r="B34" s="2831" t="s">
        <v>2178</v>
      </c>
      <c r="C34" s="2831">
        <v>1409</v>
      </c>
      <c r="D34" s="2831" t="s">
        <v>2202</v>
      </c>
      <c r="E34" s="2831" t="s">
        <v>2169</v>
      </c>
    </row>
    <row r="35" spans="1:5">
      <c r="A35" s="2831">
        <v>761</v>
      </c>
      <c r="B35" s="2831" t="s">
        <v>2178</v>
      </c>
      <c r="C35" s="2831">
        <v>1563</v>
      </c>
      <c r="D35" s="2831" t="s">
        <v>2203</v>
      </c>
      <c r="E35" s="2831" t="s">
        <v>2174</v>
      </c>
    </row>
    <row r="36" spans="1:5">
      <c r="A36" s="2831">
        <v>761</v>
      </c>
      <c r="B36" s="2831" t="s">
        <v>2178</v>
      </c>
      <c r="C36" s="2831">
        <v>304</v>
      </c>
      <c r="D36" s="2831" t="s">
        <v>2204</v>
      </c>
      <c r="E36" s="2831" t="s">
        <v>2174</v>
      </c>
    </row>
    <row r="37" spans="1:5">
      <c r="A37" s="2831">
        <v>761</v>
      </c>
      <c r="B37" s="2831" t="s">
        <v>2178</v>
      </c>
      <c r="C37" s="2831">
        <v>1066</v>
      </c>
      <c r="D37" s="2831" t="s">
        <v>2205</v>
      </c>
      <c r="E37" s="2831" t="s">
        <v>2169</v>
      </c>
    </row>
    <row r="38" spans="1:5">
      <c r="A38" s="2831">
        <v>761</v>
      </c>
      <c r="B38" s="2831" t="s">
        <v>2178</v>
      </c>
      <c r="C38" s="2831">
        <v>1063</v>
      </c>
      <c r="D38" s="2831" t="s">
        <v>2206</v>
      </c>
      <c r="E38" s="2831" t="s">
        <v>2169</v>
      </c>
    </row>
    <row r="39" spans="1:5">
      <c r="A39" s="2831">
        <v>761</v>
      </c>
      <c r="B39" s="2831" t="s">
        <v>2178</v>
      </c>
      <c r="C39" s="2831">
        <v>5566</v>
      </c>
      <c r="D39" s="2831" t="s">
        <v>2207</v>
      </c>
      <c r="E39" s="2831" t="s">
        <v>2174</v>
      </c>
    </row>
    <row r="40" spans="1:5">
      <c r="A40" s="2831">
        <v>761</v>
      </c>
      <c r="B40" s="2831" t="s">
        <v>2178</v>
      </c>
      <c r="C40" s="2831">
        <v>105</v>
      </c>
      <c r="D40" s="2831" t="s">
        <v>2208</v>
      </c>
      <c r="E40" s="2831" t="s">
        <v>2174</v>
      </c>
    </row>
    <row r="41" spans="1:5">
      <c r="A41" s="2831">
        <v>761</v>
      </c>
      <c r="B41" s="2831" t="s">
        <v>2178</v>
      </c>
      <c r="C41" s="2831">
        <v>5567</v>
      </c>
      <c r="D41" s="2831" t="s">
        <v>2209</v>
      </c>
      <c r="E41" s="2831" t="s">
        <v>2166</v>
      </c>
    </row>
    <row r="42" spans="1:5">
      <c r="A42" s="2831">
        <v>761</v>
      </c>
      <c r="B42" s="2831" t="s">
        <v>2178</v>
      </c>
      <c r="C42" s="2831">
        <v>4058</v>
      </c>
      <c r="D42" s="2831" t="s">
        <v>2210</v>
      </c>
      <c r="E42" s="2831" t="s">
        <v>2174</v>
      </c>
    </row>
    <row r="43" spans="1:5">
      <c r="A43" s="2831">
        <v>761</v>
      </c>
      <c r="B43" s="2831" t="s">
        <v>2178</v>
      </c>
      <c r="C43" s="2831">
        <v>1560</v>
      </c>
      <c r="D43" s="2831" t="s">
        <v>2211</v>
      </c>
      <c r="E43" s="2831" t="s">
        <v>2166</v>
      </c>
    </row>
    <row r="44" spans="1:5">
      <c r="A44" s="2831">
        <v>761</v>
      </c>
      <c r="B44" s="2831" t="s">
        <v>2178</v>
      </c>
      <c r="C44" s="2831">
        <v>403</v>
      </c>
      <c r="D44" s="2831" t="s">
        <v>2212</v>
      </c>
      <c r="E44" s="2831" t="s">
        <v>2166</v>
      </c>
    </row>
    <row r="45" spans="1:5">
      <c r="A45" s="2831">
        <v>761</v>
      </c>
      <c r="B45" s="2831" t="s">
        <v>2178</v>
      </c>
      <c r="C45" s="2831">
        <v>1421</v>
      </c>
      <c r="D45" s="2831" t="s">
        <v>2213</v>
      </c>
      <c r="E45" s="2831" t="s">
        <v>2174</v>
      </c>
    </row>
    <row r="46" spans="1:5">
      <c r="A46" s="2831">
        <v>761</v>
      </c>
      <c r="B46" s="2831" t="s">
        <v>2178</v>
      </c>
      <c r="C46" s="2831">
        <v>103</v>
      </c>
      <c r="D46" s="2831" t="s">
        <v>2214</v>
      </c>
      <c r="E46" s="2831" t="s">
        <v>2169</v>
      </c>
    </row>
    <row r="47" spans="1:5">
      <c r="A47" s="2831">
        <v>761</v>
      </c>
      <c r="B47" s="2831" t="s">
        <v>2178</v>
      </c>
      <c r="C47" s="2831">
        <v>100</v>
      </c>
      <c r="D47" s="2831" t="s">
        <v>2215</v>
      </c>
      <c r="E47" s="2831" t="s">
        <v>2166</v>
      </c>
    </row>
    <row r="48" spans="1:5">
      <c r="A48" s="2831">
        <v>761</v>
      </c>
      <c r="B48" s="2831" t="s">
        <v>2178</v>
      </c>
      <c r="C48" s="2831">
        <v>2563</v>
      </c>
      <c r="D48" s="2831" t="s">
        <v>2216</v>
      </c>
      <c r="E48" s="2831" t="s">
        <v>2166</v>
      </c>
    </row>
    <row r="49" spans="1:5">
      <c r="A49" s="2831">
        <v>761</v>
      </c>
      <c r="B49" s="2831" t="s">
        <v>2178</v>
      </c>
      <c r="C49" s="2831">
        <v>282</v>
      </c>
      <c r="D49" s="2831" t="s">
        <v>2217</v>
      </c>
      <c r="E49" s="2831" t="s">
        <v>2169</v>
      </c>
    </row>
    <row r="50" spans="1:5">
      <c r="A50" s="2831">
        <v>761</v>
      </c>
      <c r="B50" s="2831" t="s">
        <v>2178</v>
      </c>
      <c r="C50" s="2831">
        <v>1418</v>
      </c>
      <c r="D50" s="2831" t="s">
        <v>2218</v>
      </c>
      <c r="E50" s="2831" t="s">
        <v>2169</v>
      </c>
    </row>
    <row r="51" spans="1:5">
      <c r="A51" s="2831">
        <v>761</v>
      </c>
      <c r="B51" s="2831" t="s">
        <v>2178</v>
      </c>
      <c r="C51" s="2831">
        <v>104</v>
      </c>
      <c r="D51" s="2831" t="s">
        <v>2219</v>
      </c>
      <c r="E51" s="2831" t="s">
        <v>2166</v>
      </c>
    </row>
    <row r="52" spans="1:5">
      <c r="A52" s="2831">
        <v>761</v>
      </c>
      <c r="B52" s="2831" t="s">
        <v>2178</v>
      </c>
      <c r="C52" s="2831">
        <v>5562</v>
      </c>
      <c r="D52" s="2831" t="s">
        <v>2220</v>
      </c>
      <c r="E52" s="2831" t="s">
        <v>2169</v>
      </c>
    </row>
    <row r="53" spans="1:5">
      <c r="A53" s="2831">
        <v>761</v>
      </c>
      <c r="B53" s="2831" t="s">
        <v>2178</v>
      </c>
      <c r="C53" s="2831">
        <v>288</v>
      </c>
      <c r="D53" s="2831" t="s">
        <v>2221</v>
      </c>
      <c r="E53" s="2831" t="s">
        <v>2174</v>
      </c>
    </row>
    <row r="54" spans="1:5">
      <c r="A54" s="2831">
        <v>761</v>
      </c>
      <c r="B54" s="2831" t="s">
        <v>2178</v>
      </c>
      <c r="C54" s="2831">
        <v>1422</v>
      </c>
      <c r="D54" s="2831" t="s">
        <v>2222</v>
      </c>
      <c r="E54" s="2831" t="s">
        <v>2166</v>
      </c>
    </row>
    <row r="55" spans="1:5">
      <c r="A55" s="2831">
        <v>761</v>
      </c>
      <c r="B55" s="2831" t="s">
        <v>2178</v>
      </c>
      <c r="C55" s="2831">
        <v>1419</v>
      </c>
      <c r="D55" s="2831" t="s">
        <v>2223</v>
      </c>
      <c r="E55" s="2831" t="s">
        <v>2169</v>
      </c>
    </row>
    <row r="56" spans="1:5">
      <c r="A56" s="2831">
        <v>761</v>
      </c>
      <c r="B56" s="2831" t="s">
        <v>2178</v>
      </c>
      <c r="C56" s="2831">
        <v>213</v>
      </c>
      <c r="D56" s="2831" t="s">
        <v>2224</v>
      </c>
      <c r="E56" s="2831" t="s">
        <v>2169</v>
      </c>
    </row>
    <row r="57" spans="1:5">
      <c r="A57" s="2831">
        <v>761</v>
      </c>
      <c r="B57" s="2831" t="s">
        <v>2178</v>
      </c>
      <c r="C57" s="2831">
        <v>122</v>
      </c>
      <c r="D57" s="2831" t="s">
        <v>2225</v>
      </c>
      <c r="E57" s="2831" t="s">
        <v>2169</v>
      </c>
    </row>
    <row r="58" spans="1:5">
      <c r="A58" s="2831">
        <v>761</v>
      </c>
      <c r="B58" s="2831" t="s">
        <v>2178</v>
      </c>
      <c r="C58" s="2831">
        <v>214</v>
      </c>
      <c r="D58" s="2831" t="s">
        <v>2226</v>
      </c>
      <c r="E58" s="2831" t="s">
        <v>2169</v>
      </c>
    </row>
    <row r="59" spans="1:5">
      <c r="A59" s="2831">
        <v>761</v>
      </c>
      <c r="B59" s="2831" t="s">
        <v>2178</v>
      </c>
      <c r="C59" s="2831">
        <v>605</v>
      </c>
      <c r="D59" s="2831" t="s">
        <v>2227</v>
      </c>
      <c r="E59" s="2831" t="s">
        <v>2169</v>
      </c>
    </row>
    <row r="60" spans="1:5">
      <c r="A60" s="2831">
        <v>761</v>
      </c>
      <c r="B60" s="2831" t="s">
        <v>2178</v>
      </c>
      <c r="C60" s="2831">
        <v>1417</v>
      </c>
      <c r="D60" s="2831" t="s">
        <v>2228</v>
      </c>
      <c r="E60" s="2831" t="s">
        <v>2166</v>
      </c>
    </row>
    <row r="61" spans="1:5">
      <c r="A61" s="2831">
        <v>761</v>
      </c>
      <c r="B61" s="2831" t="s">
        <v>2178</v>
      </c>
      <c r="C61" s="2831">
        <v>212</v>
      </c>
      <c r="D61" s="2831" t="s">
        <v>2229</v>
      </c>
      <c r="E61" s="2831" t="s">
        <v>2169</v>
      </c>
    </row>
    <row r="62" spans="1:5">
      <c r="A62" s="2831">
        <v>761</v>
      </c>
      <c r="B62" s="2831" t="s">
        <v>2178</v>
      </c>
      <c r="C62" s="2831">
        <v>115</v>
      </c>
      <c r="D62" s="2831" t="s">
        <v>2230</v>
      </c>
      <c r="E62" s="2831" t="s">
        <v>2169</v>
      </c>
    </row>
    <row r="63" spans="1:5">
      <c r="A63" s="2831">
        <v>761</v>
      </c>
      <c r="B63" s="2831" t="s">
        <v>2178</v>
      </c>
      <c r="C63" s="2831">
        <v>215</v>
      </c>
      <c r="D63" s="2831" t="s">
        <v>2231</v>
      </c>
      <c r="E63" s="2831" t="s">
        <v>2169</v>
      </c>
    </row>
    <row r="64" spans="1:5">
      <c r="A64" s="2831">
        <v>761</v>
      </c>
      <c r="B64" s="2831" t="s">
        <v>2178</v>
      </c>
      <c r="C64" s="2831">
        <v>1064</v>
      </c>
      <c r="D64" s="2831" t="s">
        <v>2232</v>
      </c>
      <c r="E64" s="2831" t="s">
        <v>2174</v>
      </c>
    </row>
    <row r="65" spans="1:5">
      <c r="A65" s="2831">
        <v>761</v>
      </c>
      <c r="B65" s="2831" t="s">
        <v>2178</v>
      </c>
      <c r="C65" s="2831">
        <v>4063</v>
      </c>
      <c r="D65" s="2831" t="s">
        <v>2233</v>
      </c>
      <c r="E65" s="2831" t="s">
        <v>2169</v>
      </c>
    </row>
    <row r="66" spans="1:5">
      <c r="A66" s="2831">
        <v>761</v>
      </c>
      <c r="B66" s="2831" t="s">
        <v>2178</v>
      </c>
      <c r="C66" s="2831">
        <v>373</v>
      </c>
      <c r="D66" s="2831" t="s">
        <v>2234</v>
      </c>
      <c r="E66" s="2831" t="s">
        <v>2169</v>
      </c>
    </row>
    <row r="67" spans="1:5">
      <c r="A67" s="2831">
        <v>761</v>
      </c>
      <c r="B67" s="2831" t="s">
        <v>2178</v>
      </c>
      <c r="C67" s="2831">
        <v>2564</v>
      </c>
      <c r="D67" s="2831" t="s">
        <v>2235</v>
      </c>
      <c r="E67" s="2831" t="s">
        <v>2166</v>
      </c>
    </row>
    <row r="68" spans="1:5">
      <c r="A68" s="2831">
        <v>761</v>
      </c>
      <c r="B68" s="2831" t="s">
        <v>2178</v>
      </c>
      <c r="C68" s="2831">
        <v>186</v>
      </c>
      <c r="D68" s="2831" t="s">
        <v>2236</v>
      </c>
      <c r="E68" s="2831" t="s">
        <v>2174</v>
      </c>
    </row>
    <row r="69" spans="1:5">
      <c r="A69" s="2831">
        <v>761</v>
      </c>
      <c r="B69" s="2831" t="s">
        <v>2178</v>
      </c>
      <c r="C69" s="2831">
        <v>1414</v>
      </c>
      <c r="D69" s="2831" t="s">
        <v>2237</v>
      </c>
      <c r="E69" s="2831" t="s">
        <v>2174</v>
      </c>
    </row>
    <row r="70" spans="1:5">
      <c r="A70" s="2831">
        <v>761</v>
      </c>
      <c r="B70" s="2831" t="s">
        <v>2178</v>
      </c>
      <c r="C70" s="2831">
        <v>4560</v>
      </c>
      <c r="D70" s="2831" t="s">
        <v>2238</v>
      </c>
      <c r="E70" s="2831" t="s">
        <v>2174</v>
      </c>
    </row>
    <row r="71" spans="1:5">
      <c r="A71" s="2831">
        <v>761</v>
      </c>
      <c r="B71" s="2831" t="s">
        <v>2178</v>
      </c>
      <c r="C71" s="2831">
        <v>513</v>
      </c>
      <c r="D71" s="2831" t="s">
        <v>2239</v>
      </c>
      <c r="E71" s="2831" t="s">
        <v>2166</v>
      </c>
    </row>
    <row r="72" spans="1:5">
      <c r="A72" s="2831">
        <v>761</v>
      </c>
      <c r="B72" s="2831" t="s">
        <v>2178</v>
      </c>
      <c r="C72" s="2831">
        <v>1664</v>
      </c>
      <c r="D72" s="2831" t="s">
        <v>2240</v>
      </c>
      <c r="E72" s="2831" t="s">
        <v>2169</v>
      </c>
    </row>
    <row r="73" spans="1:5">
      <c r="A73" s="2831">
        <v>761</v>
      </c>
      <c r="B73" s="2831" t="s">
        <v>2178</v>
      </c>
      <c r="C73" s="2831">
        <v>2053</v>
      </c>
      <c r="D73" s="2831" t="s">
        <v>2241</v>
      </c>
      <c r="E73" s="2831" t="s">
        <v>2174</v>
      </c>
    </row>
    <row r="74" spans="1:5">
      <c r="A74" s="2831">
        <v>761</v>
      </c>
      <c r="B74" s="2831" t="s">
        <v>2178</v>
      </c>
      <c r="C74" s="2831">
        <v>192</v>
      </c>
      <c r="D74" s="2831" t="s">
        <v>2242</v>
      </c>
      <c r="E74" s="2831" t="s">
        <v>2166</v>
      </c>
    </row>
    <row r="75" spans="1:5">
      <c r="A75" s="2831">
        <v>761</v>
      </c>
      <c r="B75" s="2831" t="s">
        <v>2178</v>
      </c>
      <c r="C75" s="2831">
        <v>101</v>
      </c>
      <c r="D75" s="2831" t="s">
        <v>2243</v>
      </c>
      <c r="E75" s="2831" t="s">
        <v>2174</v>
      </c>
    </row>
    <row r="76" spans="1:5">
      <c r="A76" s="2831">
        <v>761</v>
      </c>
      <c r="B76" s="2831" t="s">
        <v>2178</v>
      </c>
      <c r="C76" s="2831">
        <v>5558</v>
      </c>
      <c r="D76" s="2831" t="s">
        <v>2244</v>
      </c>
      <c r="E76" s="2831" t="s">
        <v>2174</v>
      </c>
    </row>
    <row r="77" spans="1:5">
      <c r="A77" s="2831">
        <v>761</v>
      </c>
      <c r="B77" s="2831" t="s">
        <v>2178</v>
      </c>
      <c r="C77" s="2831">
        <v>3065</v>
      </c>
      <c r="D77" s="2831" t="s">
        <v>2245</v>
      </c>
      <c r="E77" s="2831" t="s">
        <v>2166</v>
      </c>
    </row>
    <row r="78" spans="1:5">
      <c r="A78" s="2831">
        <v>761</v>
      </c>
      <c r="B78" s="2831" t="s">
        <v>2178</v>
      </c>
      <c r="C78" s="2831">
        <v>3559</v>
      </c>
      <c r="D78" s="2831" t="s">
        <v>2246</v>
      </c>
      <c r="E78" s="2831" t="s">
        <v>2166</v>
      </c>
    </row>
    <row r="79" spans="1:5">
      <c r="A79" s="2831">
        <v>761</v>
      </c>
      <c r="B79" s="2831" t="s">
        <v>2178</v>
      </c>
      <c r="C79" s="2831">
        <v>180</v>
      </c>
      <c r="D79" s="2831" t="s">
        <v>2247</v>
      </c>
      <c r="E79" s="2831" t="s">
        <v>2169</v>
      </c>
    </row>
    <row r="80" spans="1:5">
      <c r="A80" s="2831">
        <v>761</v>
      </c>
      <c r="B80" s="2831" t="s">
        <v>2178</v>
      </c>
      <c r="C80" s="2831">
        <v>1567</v>
      </c>
      <c r="D80" s="2831" t="s">
        <v>2248</v>
      </c>
      <c r="E80" s="2831" t="s">
        <v>2169</v>
      </c>
    </row>
    <row r="81" spans="1:5">
      <c r="A81" s="2831">
        <v>761</v>
      </c>
      <c r="B81" s="2831" t="s">
        <v>2178</v>
      </c>
      <c r="C81" s="2831">
        <v>1412</v>
      </c>
      <c r="D81" s="2831" t="s">
        <v>2249</v>
      </c>
      <c r="E81" s="2831" t="s">
        <v>2166</v>
      </c>
    </row>
    <row r="82" spans="1:5">
      <c r="A82" s="2831">
        <v>761</v>
      </c>
      <c r="B82" s="2831" t="s">
        <v>2178</v>
      </c>
      <c r="C82" s="2831">
        <v>116</v>
      </c>
      <c r="D82" s="2831" t="s">
        <v>2250</v>
      </c>
      <c r="E82" s="2831" t="s">
        <v>2174</v>
      </c>
    </row>
    <row r="83" spans="1:5">
      <c r="A83" s="2831">
        <v>761</v>
      </c>
      <c r="B83" s="2831" t="s">
        <v>2178</v>
      </c>
      <c r="C83" s="2831">
        <v>188</v>
      </c>
      <c r="D83" s="2831" t="s">
        <v>2251</v>
      </c>
      <c r="E83" s="2831" t="s">
        <v>2174</v>
      </c>
    </row>
    <row r="84" spans="1:5">
      <c r="A84" s="2831">
        <v>761</v>
      </c>
      <c r="B84" s="2831" t="s">
        <v>2178</v>
      </c>
      <c r="C84" s="2831">
        <v>296</v>
      </c>
      <c r="D84" s="2831" t="s">
        <v>2252</v>
      </c>
      <c r="E84" s="2831" t="s">
        <v>2174</v>
      </c>
    </row>
    <row r="85" spans="1:5">
      <c r="A85" s="2831">
        <v>761</v>
      </c>
      <c r="B85" s="2831" t="s">
        <v>2178</v>
      </c>
      <c r="C85" s="2831">
        <v>2062</v>
      </c>
      <c r="D85" s="2831" t="s">
        <v>2253</v>
      </c>
      <c r="E85" s="2831" t="s">
        <v>2166</v>
      </c>
    </row>
    <row r="86" spans="1:5">
      <c r="A86" s="2831">
        <v>761</v>
      </c>
      <c r="B86" s="2831" t="s">
        <v>2178</v>
      </c>
      <c r="C86" s="2831">
        <v>123</v>
      </c>
      <c r="D86" s="2831" t="s">
        <v>2254</v>
      </c>
      <c r="E86" s="2831" t="s">
        <v>2169</v>
      </c>
    </row>
    <row r="87" spans="1:5">
      <c r="A87" s="2831">
        <v>761</v>
      </c>
      <c r="B87" s="2831" t="s">
        <v>2178</v>
      </c>
      <c r="C87" s="2831">
        <v>4066</v>
      </c>
      <c r="D87" s="2831" t="s">
        <v>2255</v>
      </c>
      <c r="E87" s="2831" t="s">
        <v>2169</v>
      </c>
    </row>
    <row r="88" spans="1:5">
      <c r="A88" s="2831">
        <v>761</v>
      </c>
      <c r="B88" s="2831" t="s">
        <v>2178</v>
      </c>
      <c r="C88" s="2831">
        <v>1416</v>
      </c>
      <c r="D88" s="2831" t="s">
        <v>2256</v>
      </c>
      <c r="E88" s="2831" t="s">
        <v>2174</v>
      </c>
    </row>
    <row r="89" spans="1:5">
      <c r="A89" s="2831">
        <v>761</v>
      </c>
      <c r="B89" s="2831" t="s">
        <v>2178</v>
      </c>
      <c r="C89" s="2831">
        <v>1424</v>
      </c>
      <c r="D89" s="2831" t="s">
        <v>2257</v>
      </c>
      <c r="E89" s="2831" t="s">
        <v>2174</v>
      </c>
    </row>
    <row r="90" spans="1:5">
      <c r="A90" s="2831">
        <v>761</v>
      </c>
      <c r="B90" s="2831" t="s">
        <v>2178</v>
      </c>
      <c r="C90" s="2831">
        <v>1208</v>
      </c>
      <c r="D90" s="2831" t="s">
        <v>2258</v>
      </c>
      <c r="E90" s="2831" t="s">
        <v>2166</v>
      </c>
    </row>
    <row r="91" spans="1:5">
      <c r="A91" s="2831">
        <v>761</v>
      </c>
      <c r="B91" s="2831" t="s">
        <v>2178</v>
      </c>
      <c r="C91" s="2831">
        <v>2569</v>
      </c>
      <c r="D91" s="2831" t="s">
        <v>2259</v>
      </c>
      <c r="E91" s="2831" t="s">
        <v>2166</v>
      </c>
    </row>
    <row r="92" spans="1:5">
      <c r="A92" s="2831">
        <v>761</v>
      </c>
      <c r="B92" s="2831" t="s">
        <v>2178</v>
      </c>
      <c r="C92" s="2831">
        <v>314</v>
      </c>
      <c r="D92" s="2831" t="s">
        <v>2260</v>
      </c>
      <c r="E92" s="2831" t="s">
        <v>2166</v>
      </c>
    </row>
    <row r="93" spans="1:5">
      <c r="A93" s="2831">
        <v>761</v>
      </c>
      <c r="B93" s="2831" t="s">
        <v>2178</v>
      </c>
      <c r="C93" s="2831">
        <v>3566</v>
      </c>
      <c r="D93" s="2831" t="s">
        <v>2261</v>
      </c>
      <c r="E93" s="2831" t="s">
        <v>2166</v>
      </c>
    </row>
    <row r="94" spans="1:5">
      <c r="A94" s="2831">
        <v>761</v>
      </c>
      <c r="B94" s="2831" t="s">
        <v>2178</v>
      </c>
      <c r="C94" s="2831">
        <v>1053</v>
      </c>
      <c r="D94" s="2831" t="s">
        <v>2262</v>
      </c>
      <c r="E94" s="2831" t="s">
        <v>2174</v>
      </c>
    </row>
    <row r="95" spans="1:5">
      <c r="A95" s="2831">
        <v>761</v>
      </c>
      <c r="B95" s="2831" t="s">
        <v>2178</v>
      </c>
      <c r="C95" s="2831">
        <v>3067</v>
      </c>
      <c r="D95" s="2831" t="s">
        <v>2263</v>
      </c>
      <c r="E95" s="2831" t="s">
        <v>2166</v>
      </c>
    </row>
    <row r="96" spans="1:5">
      <c r="A96" s="2831">
        <v>761</v>
      </c>
      <c r="B96" s="2831" t="s">
        <v>2178</v>
      </c>
      <c r="C96" s="2831">
        <v>1415</v>
      </c>
      <c r="D96" s="2831" t="s">
        <v>2264</v>
      </c>
      <c r="E96" s="2831" t="s">
        <v>2166</v>
      </c>
    </row>
    <row r="97" spans="1:5">
      <c r="A97" s="2831">
        <v>603</v>
      </c>
      <c r="B97" s="2831" t="s">
        <v>2265</v>
      </c>
      <c r="C97" s="2831">
        <v>3050</v>
      </c>
      <c r="D97" s="2831" t="s">
        <v>2266</v>
      </c>
      <c r="E97" s="2831" t="s">
        <v>2174</v>
      </c>
    </row>
    <row r="98" spans="1:5">
      <c r="A98" s="2831">
        <v>603</v>
      </c>
      <c r="B98" s="2831" t="s">
        <v>2265</v>
      </c>
      <c r="C98" s="2831">
        <v>302</v>
      </c>
      <c r="D98" s="2831" t="s">
        <v>2267</v>
      </c>
      <c r="E98" s="2831" t="s">
        <v>2174</v>
      </c>
    </row>
    <row r="99" spans="1:5">
      <c r="A99" s="2831">
        <v>603</v>
      </c>
      <c r="B99" s="2831" t="s">
        <v>2265</v>
      </c>
      <c r="C99" s="2831">
        <v>202</v>
      </c>
      <c r="D99" s="2831" t="s">
        <v>2268</v>
      </c>
      <c r="E99" s="2831" t="s">
        <v>2166</v>
      </c>
    </row>
    <row r="100" spans="1:5">
      <c r="A100" s="2831">
        <v>603</v>
      </c>
      <c r="B100" s="2831" t="s">
        <v>2265</v>
      </c>
      <c r="C100" s="2831">
        <v>102</v>
      </c>
      <c r="D100" s="2831" t="s">
        <v>2269</v>
      </c>
      <c r="E100" s="2831" t="s">
        <v>2174</v>
      </c>
    </row>
    <row r="101" spans="1:5">
      <c r="A101" s="2831">
        <v>604</v>
      </c>
      <c r="B101" s="2831" t="s">
        <v>2270</v>
      </c>
      <c r="C101" s="2831">
        <v>105</v>
      </c>
      <c r="D101" s="2831" t="s">
        <v>2271</v>
      </c>
      <c r="E101" s="2831" t="s">
        <v>2166</v>
      </c>
    </row>
    <row r="102" spans="1:5">
      <c r="A102" s="2831">
        <v>605</v>
      </c>
      <c r="B102" s="2831" t="s">
        <v>2272</v>
      </c>
      <c r="C102" s="2831">
        <v>189</v>
      </c>
      <c r="D102" s="2831" t="s">
        <v>2273</v>
      </c>
      <c r="E102" s="2831" t="s">
        <v>2174</v>
      </c>
    </row>
    <row r="103" spans="1:5">
      <c r="A103" s="2831">
        <v>605</v>
      </c>
      <c r="B103" s="2831" t="s">
        <v>2272</v>
      </c>
      <c r="C103" s="2831">
        <v>300</v>
      </c>
      <c r="D103" s="2831" t="s">
        <v>2274</v>
      </c>
      <c r="E103" s="2831" t="s">
        <v>2174</v>
      </c>
    </row>
    <row r="104" spans="1:5">
      <c r="A104" s="2831">
        <v>605</v>
      </c>
      <c r="B104" s="2831" t="s">
        <v>2272</v>
      </c>
      <c r="C104" s="2831">
        <v>302</v>
      </c>
      <c r="D104" s="2831" t="s">
        <v>2275</v>
      </c>
      <c r="E104" s="2831" t="s">
        <v>2166</v>
      </c>
    </row>
    <row r="105" spans="1:5">
      <c r="A105" s="2831">
        <v>605</v>
      </c>
      <c r="B105" s="2831" t="s">
        <v>2272</v>
      </c>
      <c r="C105" s="2831">
        <v>303</v>
      </c>
      <c r="D105" s="2831" t="s">
        <v>2276</v>
      </c>
      <c r="E105" s="2831" t="s">
        <v>2174</v>
      </c>
    </row>
    <row r="106" spans="1:5">
      <c r="A106" s="2831">
        <v>605</v>
      </c>
      <c r="B106" s="2831" t="s">
        <v>2272</v>
      </c>
      <c r="C106" s="2831">
        <v>301</v>
      </c>
      <c r="D106" s="2831" t="s">
        <v>2277</v>
      </c>
      <c r="E106" s="2831" t="s">
        <v>2166</v>
      </c>
    </row>
    <row r="107" spans="1:5">
      <c r="A107" s="2831">
        <v>605</v>
      </c>
      <c r="B107" s="2831" t="s">
        <v>2272</v>
      </c>
      <c r="C107" s="2831">
        <v>100</v>
      </c>
      <c r="D107" s="2831" t="s">
        <v>2278</v>
      </c>
      <c r="E107" s="2831" t="s">
        <v>2169</v>
      </c>
    </row>
    <row r="108" spans="1:5">
      <c r="A108" s="2831">
        <v>606</v>
      </c>
      <c r="B108" s="2831" t="s">
        <v>2279</v>
      </c>
      <c r="C108" s="2831">
        <v>107</v>
      </c>
      <c r="D108" s="2831" t="s">
        <v>2280</v>
      </c>
      <c r="E108" s="2831" t="s">
        <v>2169</v>
      </c>
    </row>
    <row r="109" spans="1:5">
      <c r="A109" s="2831">
        <v>606</v>
      </c>
      <c r="B109" s="2831" t="s">
        <v>2279</v>
      </c>
      <c r="C109" s="2831">
        <v>199</v>
      </c>
      <c r="D109" s="2831" t="s">
        <v>2281</v>
      </c>
      <c r="E109" s="2831" t="s">
        <v>2169</v>
      </c>
    </row>
    <row r="110" spans="1:5">
      <c r="A110" s="2831">
        <v>606</v>
      </c>
      <c r="B110" s="2831" t="s">
        <v>2279</v>
      </c>
      <c r="C110" s="2831">
        <v>105</v>
      </c>
      <c r="D110" s="2831" t="s">
        <v>2282</v>
      </c>
      <c r="E110" s="2831" t="s">
        <v>2166</v>
      </c>
    </row>
    <row r="111" spans="1:5">
      <c r="A111" s="2831">
        <v>606</v>
      </c>
      <c r="B111" s="2831" t="s">
        <v>2279</v>
      </c>
      <c r="C111" s="2831">
        <v>205</v>
      </c>
      <c r="D111" s="2831" t="s">
        <v>2283</v>
      </c>
      <c r="E111" s="2831" t="s">
        <v>2169</v>
      </c>
    </row>
    <row r="112" spans="1:5">
      <c r="A112" s="2831">
        <v>607</v>
      </c>
      <c r="B112" s="2831" t="s">
        <v>2284</v>
      </c>
      <c r="C112" s="2831">
        <v>101</v>
      </c>
      <c r="D112" s="2831" t="s">
        <v>2285</v>
      </c>
      <c r="E112" s="2831" t="s">
        <v>2174</v>
      </c>
    </row>
    <row r="113" spans="1:5">
      <c r="A113" s="2831">
        <v>607</v>
      </c>
      <c r="B113" s="2831" t="s">
        <v>2284</v>
      </c>
      <c r="C113" s="2831">
        <v>1050</v>
      </c>
      <c r="D113" s="2831" t="s">
        <v>2286</v>
      </c>
      <c r="E113" s="2831" t="s">
        <v>2169</v>
      </c>
    </row>
    <row r="114" spans="1:5">
      <c r="A114" s="2831">
        <v>607</v>
      </c>
      <c r="B114" s="2831" t="s">
        <v>2284</v>
      </c>
      <c r="C114" s="2831">
        <v>301</v>
      </c>
      <c r="D114" s="2831" t="s">
        <v>2287</v>
      </c>
      <c r="E114" s="2831" t="s">
        <v>2169</v>
      </c>
    </row>
    <row r="115" spans="1:5">
      <c r="A115" s="2831">
        <v>607</v>
      </c>
      <c r="B115" s="2831" t="s">
        <v>2284</v>
      </c>
      <c r="C115" s="2831">
        <v>300</v>
      </c>
      <c r="D115" s="2831" t="s">
        <v>2288</v>
      </c>
      <c r="E115" s="2831" t="s">
        <v>2174</v>
      </c>
    </row>
    <row r="116" spans="1:5">
      <c r="A116" s="2831">
        <v>607</v>
      </c>
      <c r="B116" s="2831" t="s">
        <v>2284</v>
      </c>
      <c r="C116" s="2831">
        <v>114</v>
      </c>
      <c r="D116" s="2831" t="s">
        <v>2289</v>
      </c>
      <c r="E116" s="2831" t="s">
        <v>2169</v>
      </c>
    </row>
    <row r="117" spans="1:5">
      <c r="A117" s="2831">
        <v>607</v>
      </c>
      <c r="B117" s="2831" t="s">
        <v>2284</v>
      </c>
      <c r="C117" s="2831">
        <v>205</v>
      </c>
      <c r="D117" s="2831" t="s">
        <v>2290</v>
      </c>
      <c r="E117" s="2831" t="s">
        <v>2166</v>
      </c>
    </row>
    <row r="118" spans="1:5">
      <c r="A118" s="2831">
        <v>607</v>
      </c>
      <c r="B118" s="2831" t="s">
        <v>2284</v>
      </c>
      <c r="C118" s="2831">
        <v>193</v>
      </c>
      <c r="D118" s="2831" t="s">
        <v>2291</v>
      </c>
      <c r="E118" s="2831" t="s">
        <v>2169</v>
      </c>
    </row>
    <row r="119" spans="1:5">
      <c r="A119" s="2831">
        <v>607</v>
      </c>
      <c r="B119" s="2831" t="s">
        <v>2284</v>
      </c>
      <c r="C119" s="2831">
        <v>105</v>
      </c>
      <c r="D119" s="2831" t="s">
        <v>2292</v>
      </c>
      <c r="E119" s="2831" t="s">
        <v>2166</v>
      </c>
    </row>
    <row r="120" spans="1:5">
      <c r="A120" s="2831">
        <v>607</v>
      </c>
      <c r="B120" s="2831" t="s">
        <v>2284</v>
      </c>
      <c r="C120" s="2831">
        <v>106</v>
      </c>
      <c r="D120" s="2831" t="s">
        <v>2293</v>
      </c>
      <c r="E120" s="2831" t="s">
        <v>2166</v>
      </c>
    </row>
    <row r="121" spans="1:5">
      <c r="A121" s="2831">
        <v>607</v>
      </c>
      <c r="B121" s="2831" t="s">
        <v>2284</v>
      </c>
      <c r="C121" s="2831">
        <v>4050</v>
      </c>
      <c r="D121" s="2831" t="s">
        <v>2294</v>
      </c>
      <c r="E121" s="2831" t="s">
        <v>2169</v>
      </c>
    </row>
    <row r="122" spans="1:5">
      <c r="A122" s="2831">
        <v>607</v>
      </c>
      <c r="B122" s="2831" t="s">
        <v>2284</v>
      </c>
      <c r="C122" s="2831">
        <v>189</v>
      </c>
      <c r="D122" s="2831" t="s">
        <v>2295</v>
      </c>
      <c r="E122" s="2831" t="s">
        <v>2166</v>
      </c>
    </row>
    <row r="123" spans="1:5">
      <c r="A123" s="2831">
        <v>607</v>
      </c>
      <c r="B123" s="2831" t="s">
        <v>2284</v>
      </c>
      <c r="C123" s="2831">
        <v>289</v>
      </c>
      <c r="D123" s="2831" t="s">
        <v>2296</v>
      </c>
      <c r="E123" s="2831" t="s">
        <v>2166</v>
      </c>
    </row>
    <row r="124" spans="1:5">
      <c r="A124" s="2831">
        <v>607</v>
      </c>
      <c r="B124" s="2831" t="s">
        <v>2284</v>
      </c>
      <c r="C124" s="2831">
        <v>5050</v>
      </c>
      <c r="D124" s="2831" t="s">
        <v>2297</v>
      </c>
      <c r="E124" s="2831" t="s">
        <v>2169</v>
      </c>
    </row>
    <row r="125" spans="1:5">
      <c r="A125" s="2831">
        <v>607</v>
      </c>
      <c r="B125" s="2831" t="s">
        <v>2284</v>
      </c>
      <c r="C125" s="2831">
        <v>198</v>
      </c>
      <c r="D125" s="2831" t="s">
        <v>2298</v>
      </c>
      <c r="E125" s="2831" t="s">
        <v>2166</v>
      </c>
    </row>
    <row r="126" spans="1:5">
      <c r="A126" s="2831">
        <v>607</v>
      </c>
      <c r="B126" s="2831" t="s">
        <v>2284</v>
      </c>
      <c r="C126" s="2831">
        <v>299</v>
      </c>
      <c r="D126" s="2831" t="s">
        <v>2299</v>
      </c>
      <c r="E126" s="2831" t="s">
        <v>2169</v>
      </c>
    </row>
    <row r="127" spans="1:5">
      <c r="A127" s="2831">
        <v>607</v>
      </c>
      <c r="B127" s="2831" t="s">
        <v>2284</v>
      </c>
      <c r="C127" s="2831">
        <v>3052</v>
      </c>
      <c r="D127" s="2831" t="s">
        <v>2300</v>
      </c>
      <c r="E127" s="2831" t="s">
        <v>2169</v>
      </c>
    </row>
    <row r="128" spans="1:5">
      <c r="A128" s="2831">
        <v>607</v>
      </c>
      <c r="B128" s="2831" t="s">
        <v>2284</v>
      </c>
      <c r="C128" s="2831">
        <v>298</v>
      </c>
      <c r="D128" s="2831" t="s">
        <v>2301</v>
      </c>
      <c r="E128" s="2831" t="s">
        <v>2169</v>
      </c>
    </row>
    <row r="129" spans="1:5">
      <c r="A129" s="2831">
        <v>608</v>
      </c>
      <c r="B129" s="2831" t="s">
        <v>2068</v>
      </c>
      <c r="C129" s="2831">
        <v>177</v>
      </c>
      <c r="D129" s="2831" t="s">
        <v>2302</v>
      </c>
      <c r="E129" s="2831" t="s">
        <v>2169</v>
      </c>
    </row>
    <row r="130" spans="1:5">
      <c r="A130" s="2831">
        <v>608</v>
      </c>
      <c r="B130" s="2831" t="s">
        <v>2068</v>
      </c>
      <c r="C130" s="2831">
        <v>105</v>
      </c>
      <c r="D130" s="2831" t="s">
        <v>2303</v>
      </c>
      <c r="E130" s="2831" t="s">
        <v>2166</v>
      </c>
    </row>
    <row r="131" spans="1:5">
      <c r="A131" s="2831">
        <v>608</v>
      </c>
      <c r="B131" s="2831" t="s">
        <v>2068</v>
      </c>
      <c r="C131" s="2831">
        <v>301</v>
      </c>
      <c r="D131" s="2831" t="s">
        <v>2304</v>
      </c>
      <c r="E131" s="2831" t="s">
        <v>2166</v>
      </c>
    </row>
    <row r="132" spans="1:5">
      <c r="A132" s="2831">
        <v>608</v>
      </c>
      <c r="B132" s="2831" t="s">
        <v>2068</v>
      </c>
      <c r="C132" s="2831">
        <v>196</v>
      </c>
      <c r="D132" s="2831" t="s">
        <v>2305</v>
      </c>
      <c r="E132" s="2831" t="s">
        <v>2174</v>
      </c>
    </row>
    <row r="133" spans="1:5">
      <c r="A133" s="2831">
        <v>608</v>
      </c>
      <c r="B133" s="2831" t="s">
        <v>2068</v>
      </c>
      <c r="C133" s="2831">
        <v>114</v>
      </c>
      <c r="D133" s="2831" t="s">
        <v>2306</v>
      </c>
      <c r="E133" s="2831" t="s">
        <v>2169</v>
      </c>
    </row>
    <row r="134" spans="1:5">
      <c r="A134" s="2831">
        <v>608</v>
      </c>
      <c r="B134" s="2831" t="s">
        <v>2068</v>
      </c>
      <c r="C134" s="2831">
        <v>195</v>
      </c>
      <c r="D134" s="2831" t="s">
        <v>2307</v>
      </c>
      <c r="E134" s="2831" t="s">
        <v>2169</v>
      </c>
    </row>
    <row r="135" spans="1:5">
      <c r="A135" s="2831">
        <v>608</v>
      </c>
      <c r="B135" s="2831" t="s">
        <v>2068</v>
      </c>
      <c r="C135" s="2831">
        <v>104</v>
      </c>
      <c r="D135" s="2831" t="s">
        <v>2308</v>
      </c>
      <c r="E135" s="2831" t="s">
        <v>2174</v>
      </c>
    </row>
    <row r="136" spans="1:5">
      <c r="A136" s="2831">
        <v>608</v>
      </c>
      <c r="B136" s="2831" t="s">
        <v>2068</v>
      </c>
      <c r="C136" s="2831">
        <v>115</v>
      </c>
      <c r="D136" s="2831" t="s">
        <v>2309</v>
      </c>
      <c r="E136" s="2831" t="s">
        <v>2174</v>
      </c>
    </row>
    <row r="137" spans="1:5">
      <c r="A137" s="2831">
        <v>608</v>
      </c>
      <c r="B137" s="2831" t="s">
        <v>2068</v>
      </c>
      <c r="C137" s="2831">
        <v>2052</v>
      </c>
      <c r="D137" s="2831" t="s">
        <v>2310</v>
      </c>
      <c r="E137" s="2831" t="s">
        <v>2169</v>
      </c>
    </row>
    <row r="138" spans="1:5">
      <c r="A138" s="2831">
        <v>608</v>
      </c>
      <c r="B138" s="2831" t="s">
        <v>2068</v>
      </c>
      <c r="C138" s="2831">
        <v>107</v>
      </c>
      <c r="D138" s="2831" t="s">
        <v>2311</v>
      </c>
      <c r="E138" s="2831" t="s">
        <v>2174</v>
      </c>
    </row>
    <row r="139" spans="1:5">
      <c r="A139" s="2831">
        <v>608</v>
      </c>
      <c r="B139" s="2831" t="s">
        <v>2068</v>
      </c>
      <c r="C139" s="2831">
        <v>377</v>
      </c>
      <c r="D139" s="2831" t="s">
        <v>2312</v>
      </c>
      <c r="E139" s="2831" t="s">
        <v>2174</v>
      </c>
    </row>
    <row r="140" spans="1:5">
      <c r="A140" s="2831">
        <v>608</v>
      </c>
      <c r="B140" s="2831" t="s">
        <v>2068</v>
      </c>
      <c r="C140" s="2831">
        <v>296</v>
      </c>
      <c r="D140" s="2831" t="s">
        <v>2313</v>
      </c>
      <c r="E140" s="2831" t="s">
        <v>2174</v>
      </c>
    </row>
    <row r="141" spans="1:5">
      <c r="A141" s="2831">
        <v>608</v>
      </c>
      <c r="B141" s="2831" t="s">
        <v>2068</v>
      </c>
      <c r="C141" s="2831">
        <v>186</v>
      </c>
      <c r="D141" s="2831" t="s">
        <v>2314</v>
      </c>
      <c r="E141" s="2831" t="s">
        <v>2174</v>
      </c>
    </row>
    <row r="142" spans="1:5">
      <c r="A142" s="2831">
        <v>608</v>
      </c>
      <c r="B142" s="2831" t="s">
        <v>2068</v>
      </c>
      <c r="C142" s="2831">
        <v>106</v>
      </c>
      <c r="D142" s="2831" t="s">
        <v>2315</v>
      </c>
      <c r="E142" s="2831" t="s">
        <v>2166</v>
      </c>
    </row>
    <row r="143" spans="1:5">
      <c r="A143" s="2831">
        <v>608</v>
      </c>
      <c r="B143" s="2831" t="s">
        <v>2068</v>
      </c>
      <c r="C143" s="2831">
        <v>190</v>
      </c>
      <c r="D143" s="2831" t="s">
        <v>2316</v>
      </c>
      <c r="E143" s="2831" t="s">
        <v>2174</v>
      </c>
    </row>
    <row r="144" spans="1:5">
      <c r="A144" s="2831">
        <v>608</v>
      </c>
      <c r="B144" s="2831" t="s">
        <v>2068</v>
      </c>
      <c r="C144" s="2831">
        <v>396</v>
      </c>
      <c r="D144" s="2831" t="s">
        <v>2317</v>
      </c>
      <c r="E144" s="2831" t="s">
        <v>2169</v>
      </c>
    </row>
    <row r="145" spans="1:5">
      <c r="A145" s="2831">
        <v>608</v>
      </c>
      <c r="B145" s="2831" t="s">
        <v>2068</v>
      </c>
      <c r="C145" s="2831">
        <v>175</v>
      </c>
      <c r="D145" s="2831" t="s">
        <v>2318</v>
      </c>
      <c r="E145" s="2831" t="s">
        <v>2174</v>
      </c>
    </row>
    <row r="146" spans="1:5">
      <c r="A146" s="2831">
        <v>608</v>
      </c>
      <c r="B146" s="2831" t="s">
        <v>2068</v>
      </c>
      <c r="C146" s="2831">
        <v>198</v>
      </c>
      <c r="D146" s="2831" t="s">
        <v>2319</v>
      </c>
      <c r="E146" s="2831" t="s">
        <v>2174</v>
      </c>
    </row>
    <row r="147" spans="1:5">
      <c r="A147" s="2831">
        <v>608</v>
      </c>
      <c r="B147" s="2831" t="s">
        <v>2068</v>
      </c>
      <c r="C147" s="2831">
        <v>101</v>
      </c>
      <c r="D147" s="2831" t="s">
        <v>2320</v>
      </c>
      <c r="E147" s="2831" t="s">
        <v>2166</v>
      </c>
    </row>
    <row r="148" spans="1:5">
      <c r="A148" s="2831">
        <v>609</v>
      </c>
      <c r="B148" s="2831" t="s">
        <v>2321</v>
      </c>
      <c r="C148" s="2831">
        <v>296</v>
      </c>
      <c r="D148" s="2831" t="s">
        <v>2322</v>
      </c>
      <c r="E148" s="2831" t="s">
        <v>2166</v>
      </c>
    </row>
    <row r="149" spans="1:5">
      <c r="A149" s="2831">
        <v>609</v>
      </c>
      <c r="B149" s="2831" t="s">
        <v>2321</v>
      </c>
      <c r="C149" s="2831">
        <v>196</v>
      </c>
      <c r="D149" s="2831" t="s">
        <v>2323</v>
      </c>
      <c r="E149" s="2831" t="s">
        <v>2174</v>
      </c>
    </row>
    <row r="150" spans="1:5">
      <c r="A150" s="2831">
        <v>609</v>
      </c>
      <c r="B150" s="2831" t="s">
        <v>2321</v>
      </c>
      <c r="C150" s="2831">
        <v>111</v>
      </c>
      <c r="D150" s="2831" t="s">
        <v>2324</v>
      </c>
      <c r="E150" s="2831" t="s">
        <v>2166</v>
      </c>
    </row>
    <row r="151" spans="1:5">
      <c r="A151" s="2831">
        <v>609</v>
      </c>
      <c r="B151" s="2831" t="s">
        <v>2321</v>
      </c>
      <c r="C151" s="2831">
        <v>291</v>
      </c>
      <c r="D151" s="2831" t="s">
        <v>2325</v>
      </c>
      <c r="E151" s="2831" t="s">
        <v>2166</v>
      </c>
    </row>
    <row r="152" spans="1:5">
      <c r="A152" s="2831">
        <v>609</v>
      </c>
      <c r="B152" s="2831" t="s">
        <v>2321</v>
      </c>
      <c r="C152" s="2831">
        <v>392</v>
      </c>
      <c r="D152" s="2831" t="s">
        <v>2326</v>
      </c>
      <c r="E152" s="2831" t="s">
        <v>2169</v>
      </c>
    </row>
    <row r="153" spans="1:5">
      <c r="A153" s="2831">
        <v>610</v>
      </c>
      <c r="B153" s="2831" t="s">
        <v>2327</v>
      </c>
      <c r="C153" s="2831">
        <v>106</v>
      </c>
      <c r="D153" s="2831" t="s">
        <v>2328</v>
      </c>
      <c r="E153" s="2831" t="s">
        <v>2169</v>
      </c>
    </row>
    <row r="154" spans="1:5">
      <c r="A154" s="2831">
        <v>610</v>
      </c>
      <c r="B154" s="2831" t="s">
        <v>2327</v>
      </c>
      <c r="C154" s="2831">
        <v>195</v>
      </c>
      <c r="D154" s="2831" t="s">
        <v>2329</v>
      </c>
      <c r="E154" s="2831" t="s">
        <v>2174</v>
      </c>
    </row>
    <row r="155" spans="1:5">
      <c r="A155" s="2831">
        <v>610</v>
      </c>
      <c r="B155" s="2831" t="s">
        <v>2327</v>
      </c>
      <c r="C155" s="2831">
        <v>101</v>
      </c>
      <c r="D155" s="2831" t="s">
        <v>2330</v>
      </c>
      <c r="E155" s="2831" t="s">
        <v>2169</v>
      </c>
    </row>
    <row r="156" spans="1:5">
      <c r="A156" s="2831">
        <v>610</v>
      </c>
      <c r="B156" s="2831" t="s">
        <v>2327</v>
      </c>
      <c r="C156" s="2831">
        <v>194</v>
      </c>
      <c r="D156" s="2831" t="s">
        <v>2331</v>
      </c>
      <c r="E156" s="2831" t="s">
        <v>2174</v>
      </c>
    </row>
    <row r="157" spans="1:5">
      <c r="A157" s="2831">
        <v>610</v>
      </c>
      <c r="B157" s="2831" t="s">
        <v>2327</v>
      </c>
      <c r="C157" s="2831">
        <v>5050</v>
      </c>
      <c r="D157" s="2831" t="s">
        <v>2332</v>
      </c>
      <c r="E157" s="2831" t="s">
        <v>2174</v>
      </c>
    </row>
    <row r="158" spans="1:5">
      <c r="A158" s="2831">
        <v>611</v>
      </c>
      <c r="B158" s="2831" t="s">
        <v>2333</v>
      </c>
      <c r="C158" s="2831">
        <v>1050</v>
      </c>
      <c r="D158" s="2831" t="s">
        <v>2334</v>
      </c>
      <c r="E158" s="2831" t="s">
        <v>2174</v>
      </c>
    </row>
    <row r="159" spans="1:5">
      <c r="A159" s="2831">
        <v>611</v>
      </c>
      <c r="B159" s="2831" t="s">
        <v>2333</v>
      </c>
      <c r="C159" s="2831">
        <v>5050</v>
      </c>
      <c r="D159" s="2831" t="s">
        <v>2335</v>
      </c>
      <c r="E159" s="2831" t="s">
        <v>2169</v>
      </c>
    </row>
    <row r="160" spans="1:5">
      <c r="A160" s="2831">
        <v>611</v>
      </c>
      <c r="B160" s="2831" t="s">
        <v>2333</v>
      </c>
      <c r="C160" s="2831">
        <v>108</v>
      </c>
      <c r="D160" s="2831" t="s">
        <v>2336</v>
      </c>
      <c r="E160" s="2831" t="s">
        <v>2166</v>
      </c>
    </row>
    <row r="161" spans="1:5">
      <c r="A161" s="2831">
        <v>611</v>
      </c>
      <c r="B161" s="2831" t="s">
        <v>2333</v>
      </c>
      <c r="C161" s="2831">
        <v>1054</v>
      </c>
      <c r="D161" s="2831" t="s">
        <v>2337</v>
      </c>
      <c r="E161" s="2831" t="s">
        <v>2166</v>
      </c>
    </row>
    <row r="162" spans="1:5">
      <c r="A162" s="2831">
        <v>611</v>
      </c>
      <c r="B162" s="2831" t="s">
        <v>2333</v>
      </c>
      <c r="C162" s="2831">
        <v>109</v>
      </c>
      <c r="D162" s="2831" t="s">
        <v>2338</v>
      </c>
      <c r="E162" s="2831" t="s">
        <v>2166</v>
      </c>
    </row>
    <row r="163" spans="1:5">
      <c r="A163" s="2831">
        <v>611</v>
      </c>
      <c r="B163" s="2831" t="s">
        <v>2333</v>
      </c>
      <c r="C163" s="2831">
        <v>104</v>
      </c>
      <c r="D163" s="2831" t="s">
        <v>2339</v>
      </c>
      <c r="E163" s="2831" t="s">
        <v>2174</v>
      </c>
    </row>
    <row r="164" spans="1:5">
      <c r="A164" s="2831">
        <v>611</v>
      </c>
      <c r="B164" s="2831" t="s">
        <v>2333</v>
      </c>
      <c r="C164" s="2831">
        <v>1205</v>
      </c>
      <c r="D164" s="2831" t="s">
        <v>2340</v>
      </c>
      <c r="E164" s="2831" t="s">
        <v>2166</v>
      </c>
    </row>
    <row r="165" spans="1:5">
      <c r="A165" s="2831">
        <v>611</v>
      </c>
      <c r="B165" s="2831" t="s">
        <v>2333</v>
      </c>
      <c r="C165" s="2831">
        <v>186</v>
      </c>
      <c r="D165" s="2831" t="s">
        <v>2341</v>
      </c>
      <c r="E165" s="2831" t="s">
        <v>2169</v>
      </c>
    </row>
    <row r="166" spans="1:5">
      <c r="A166" s="2831">
        <v>611</v>
      </c>
      <c r="B166" s="2831" t="s">
        <v>2333</v>
      </c>
      <c r="C166" s="2831">
        <v>2060</v>
      </c>
      <c r="D166" s="2831" t="s">
        <v>2342</v>
      </c>
      <c r="E166" s="2831" t="s">
        <v>2166</v>
      </c>
    </row>
    <row r="167" spans="1:5">
      <c r="A167" s="2831">
        <v>611</v>
      </c>
      <c r="B167" s="2831" t="s">
        <v>2333</v>
      </c>
      <c r="C167" s="2831">
        <v>3060</v>
      </c>
      <c r="D167" s="2831" t="s">
        <v>2343</v>
      </c>
      <c r="E167" s="2831" t="s">
        <v>2174</v>
      </c>
    </row>
    <row r="168" spans="1:5">
      <c r="A168" s="2831">
        <v>611</v>
      </c>
      <c r="B168" s="2831" t="s">
        <v>2333</v>
      </c>
      <c r="C168" s="2831">
        <v>605</v>
      </c>
      <c r="D168" s="2831" t="s">
        <v>2344</v>
      </c>
      <c r="E168" s="2831" t="s">
        <v>2166</v>
      </c>
    </row>
    <row r="169" spans="1:5">
      <c r="A169" s="2831">
        <v>611</v>
      </c>
      <c r="B169" s="2831" t="s">
        <v>2333</v>
      </c>
      <c r="C169" s="2831">
        <v>105</v>
      </c>
      <c r="D169" s="2831" t="s">
        <v>2345</v>
      </c>
      <c r="E169" s="2831" t="s">
        <v>2166</v>
      </c>
    </row>
    <row r="170" spans="1:5">
      <c r="A170" s="2831">
        <v>611</v>
      </c>
      <c r="B170" s="2831" t="s">
        <v>2333</v>
      </c>
      <c r="C170" s="2831">
        <v>205</v>
      </c>
      <c r="D170" s="2831" t="s">
        <v>2346</v>
      </c>
      <c r="E170" s="2831" t="s">
        <v>2166</v>
      </c>
    </row>
    <row r="171" spans="1:5">
      <c r="A171" s="2831">
        <v>611</v>
      </c>
      <c r="B171" s="2831" t="s">
        <v>2333</v>
      </c>
      <c r="C171" s="2831">
        <v>3067</v>
      </c>
      <c r="D171" s="2831" t="s">
        <v>2347</v>
      </c>
      <c r="E171" s="2831" t="s">
        <v>2169</v>
      </c>
    </row>
    <row r="172" spans="1:5">
      <c r="A172" s="2831">
        <v>611</v>
      </c>
      <c r="B172" s="2831" t="s">
        <v>2333</v>
      </c>
      <c r="C172" s="2831">
        <v>1310</v>
      </c>
      <c r="D172" s="2831" t="s">
        <v>2348</v>
      </c>
      <c r="E172" s="2831" t="s">
        <v>2169</v>
      </c>
    </row>
    <row r="173" spans="1:5">
      <c r="A173" s="2831">
        <v>611</v>
      </c>
      <c r="B173" s="2831" t="s">
        <v>2333</v>
      </c>
      <c r="C173" s="2831">
        <v>1305</v>
      </c>
      <c r="D173" s="2831" t="s">
        <v>2349</v>
      </c>
      <c r="E173" s="2831" t="s">
        <v>2174</v>
      </c>
    </row>
    <row r="174" spans="1:5">
      <c r="A174" s="2831">
        <v>611</v>
      </c>
      <c r="B174" s="2831" t="s">
        <v>2333</v>
      </c>
      <c r="C174" s="2831">
        <v>1306</v>
      </c>
      <c r="D174" s="2831" t="s">
        <v>2350</v>
      </c>
      <c r="E174" s="2831" t="s">
        <v>2174</v>
      </c>
    </row>
    <row r="175" spans="1:5">
      <c r="A175" s="2831">
        <v>611</v>
      </c>
      <c r="B175" s="2831" t="s">
        <v>2333</v>
      </c>
      <c r="C175" s="2831">
        <v>298</v>
      </c>
      <c r="D175" s="2831" t="s">
        <v>2351</v>
      </c>
      <c r="E175" s="2831" t="s">
        <v>2174</v>
      </c>
    </row>
    <row r="176" spans="1:5">
      <c r="A176" s="2831">
        <v>611</v>
      </c>
      <c r="B176" s="2831" t="s">
        <v>2333</v>
      </c>
      <c r="C176" s="2831">
        <v>286</v>
      </c>
      <c r="D176" s="2831" t="s">
        <v>2352</v>
      </c>
      <c r="E176" s="2831" t="s">
        <v>2174</v>
      </c>
    </row>
    <row r="177" spans="1:5">
      <c r="A177" s="2831">
        <v>611</v>
      </c>
      <c r="B177" s="2831" t="s">
        <v>2333</v>
      </c>
      <c r="C177" s="2831">
        <v>1067</v>
      </c>
      <c r="D177" s="2831" t="s">
        <v>2353</v>
      </c>
      <c r="E177" s="2831" t="s">
        <v>2169</v>
      </c>
    </row>
    <row r="178" spans="1:5">
      <c r="A178" s="2831">
        <v>611</v>
      </c>
      <c r="B178" s="2831" t="s">
        <v>2333</v>
      </c>
      <c r="C178" s="2831">
        <v>405</v>
      </c>
      <c r="D178" s="2831" t="s">
        <v>2354</v>
      </c>
      <c r="E178" s="2831" t="s">
        <v>2169</v>
      </c>
    </row>
    <row r="179" spans="1:5">
      <c r="A179" s="2831">
        <v>611</v>
      </c>
      <c r="B179" s="2831" t="s">
        <v>2333</v>
      </c>
      <c r="C179" s="2831">
        <v>204</v>
      </c>
      <c r="D179" s="2831" t="s">
        <v>2355</v>
      </c>
      <c r="E179" s="2831" t="s">
        <v>2169</v>
      </c>
    </row>
    <row r="180" spans="1:5">
      <c r="A180" s="2831">
        <v>611</v>
      </c>
      <c r="B180" s="2831" t="s">
        <v>2333</v>
      </c>
      <c r="C180" s="2831">
        <v>305</v>
      </c>
      <c r="D180" s="2831" t="s">
        <v>2356</v>
      </c>
      <c r="E180" s="2831" t="s">
        <v>2169</v>
      </c>
    </row>
    <row r="181" spans="1:5">
      <c r="A181" s="2831">
        <v>611</v>
      </c>
      <c r="B181" s="2831" t="s">
        <v>2333</v>
      </c>
      <c r="C181" s="2831">
        <v>103</v>
      </c>
      <c r="D181" s="2831" t="s">
        <v>2357</v>
      </c>
      <c r="E181" s="2831" t="s">
        <v>2166</v>
      </c>
    </row>
    <row r="182" spans="1:5">
      <c r="A182" s="2831">
        <v>611</v>
      </c>
      <c r="B182" s="2831" t="s">
        <v>2333</v>
      </c>
      <c r="C182" s="2831">
        <v>1307</v>
      </c>
      <c r="D182" s="2831" t="s">
        <v>2358</v>
      </c>
      <c r="E182" s="2831" t="s">
        <v>2166</v>
      </c>
    </row>
    <row r="183" spans="1:5">
      <c r="A183" s="2831">
        <v>611</v>
      </c>
      <c r="B183" s="2831" t="s">
        <v>2333</v>
      </c>
      <c r="C183" s="2831">
        <v>386</v>
      </c>
      <c r="D183" s="2831" t="s">
        <v>2359</v>
      </c>
      <c r="E183" s="2831" t="s">
        <v>2166</v>
      </c>
    </row>
    <row r="184" spans="1:5">
      <c r="A184" s="2831">
        <v>611</v>
      </c>
      <c r="B184" s="2831" t="s">
        <v>2333</v>
      </c>
      <c r="C184" s="2831">
        <v>1105</v>
      </c>
      <c r="D184" s="2831" t="s">
        <v>2360</v>
      </c>
      <c r="E184" s="2831" t="s">
        <v>2174</v>
      </c>
    </row>
    <row r="185" spans="1:5">
      <c r="A185" s="2831">
        <v>611</v>
      </c>
      <c r="B185" s="2831" t="s">
        <v>2333</v>
      </c>
      <c r="C185" s="2831">
        <v>705</v>
      </c>
      <c r="D185" s="2831" t="s">
        <v>2361</v>
      </c>
      <c r="E185" s="2831" t="s">
        <v>2166</v>
      </c>
    </row>
    <row r="186" spans="1:5">
      <c r="A186" s="2831">
        <v>611</v>
      </c>
      <c r="B186" s="2831" t="s">
        <v>2333</v>
      </c>
      <c r="C186" s="2831">
        <v>1311</v>
      </c>
      <c r="D186" s="2831" t="s">
        <v>2362</v>
      </c>
      <c r="E186" s="2831" t="s">
        <v>2174</v>
      </c>
    </row>
    <row r="187" spans="1:5">
      <c r="A187" s="2831">
        <v>611</v>
      </c>
      <c r="B187" s="2831" t="s">
        <v>2333</v>
      </c>
      <c r="C187" s="2831">
        <v>1309</v>
      </c>
      <c r="D187" s="2831" t="s">
        <v>2363</v>
      </c>
      <c r="E187" s="2831" t="s">
        <v>2166</v>
      </c>
    </row>
    <row r="188" spans="1:5">
      <c r="A188" s="2831">
        <v>611</v>
      </c>
      <c r="B188" s="2831" t="s">
        <v>2333</v>
      </c>
      <c r="C188" s="2831">
        <v>203</v>
      </c>
      <c r="D188" s="2831" t="s">
        <v>2364</v>
      </c>
      <c r="E188" s="2831" t="s">
        <v>2166</v>
      </c>
    </row>
    <row r="189" spans="1:5">
      <c r="A189" s="2831">
        <v>611</v>
      </c>
      <c r="B189" s="2831" t="s">
        <v>2333</v>
      </c>
      <c r="C189" s="2831">
        <v>505</v>
      </c>
      <c r="D189" s="2831" t="s">
        <v>2365</v>
      </c>
      <c r="E189" s="2831" t="s">
        <v>2166</v>
      </c>
    </row>
    <row r="190" spans="1:5">
      <c r="A190" s="2831">
        <v>611</v>
      </c>
      <c r="B190" s="2831" t="s">
        <v>2333</v>
      </c>
      <c r="C190" s="2831">
        <v>198</v>
      </c>
      <c r="D190" s="2831" t="s">
        <v>2366</v>
      </c>
      <c r="E190" s="2831" t="s">
        <v>2169</v>
      </c>
    </row>
    <row r="191" spans="1:5">
      <c r="A191" s="2831">
        <v>611</v>
      </c>
      <c r="B191" s="2831" t="s">
        <v>2333</v>
      </c>
      <c r="C191" s="2831">
        <v>383</v>
      </c>
      <c r="D191" s="2831" t="s">
        <v>2367</v>
      </c>
      <c r="E191" s="2831" t="s">
        <v>2166</v>
      </c>
    </row>
    <row r="192" spans="1:5">
      <c r="A192" s="2831">
        <v>612</v>
      </c>
      <c r="B192" s="2831" t="s">
        <v>2368</v>
      </c>
      <c r="C192" s="2831">
        <v>197</v>
      </c>
      <c r="D192" s="2831" t="s">
        <v>2369</v>
      </c>
      <c r="E192" s="2831" t="s">
        <v>2174</v>
      </c>
    </row>
    <row r="193" spans="1:5">
      <c r="A193" s="2831">
        <v>612</v>
      </c>
      <c r="B193" s="2831" t="s">
        <v>2368</v>
      </c>
      <c r="C193" s="2831">
        <v>105</v>
      </c>
      <c r="D193" s="2831" t="s">
        <v>2370</v>
      </c>
      <c r="E193" s="2831" t="s">
        <v>2166</v>
      </c>
    </row>
    <row r="194" spans="1:5">
      <c r="A194" s="2831">
        <v>612</v>
      </c>
      <c r="B194" s="2831" t="s">
        <v>2368</v>
      </c>
      <c r="C194" s="2831">
        <v>1050</v>
      </c>
      <c r="D194" s="2831" t="s">
        <v>2371</v>
      </c>
      <c r="E194" s="2831" t="s">
        <v>2169</v>
      </c>
    </row>
    <row r="195" spans="1:5">
      <c r="A195" s="2831">
        <v>612</v>
      </c>
      <c r="B195" s="2831" t="s">
        <v>2368</v>
      </c>
      <c r="C195" s="2831">
        <v>115</v>
      </c>
      <c r="D195" s="2831" t="s">
        <v>2372</v>
      </c>
      <c r="E195" s="2831" t="s">
        <v>2166</v>
      </c>
    </row>
    <row r="196" spans="1:5">
      <c r="A196" s="2831">
        <v>612</v>
      </c>
      <c r="B196" s="2831" t="s">
        <v>2368</v>
      </c>
      <c r="C196" s="2831">
        <v>112</v>
      </c>
      <c r="D196" s="2831" t="s">
        <v>2373</v>
      </c>
      <c r="E196" s="2831" t="s">
        <v>2166</v>
      </c>
    </row>
    <row r="197" spans="1:5">
      <c r="A197" s="2831">
        <v>613</v>
      </c>
      <c r="B197" s="2831" t="s">
        <v>2374</v>
      </c>
      <c r="C197" s="2831">
        <v>110</v>
      </c>
      <c r="D197" s="2831" t="s">
        <v>2375</v>
      </c>
      <c r="E197" s="2831" t="s">
        <v>2166</v>
      </c>
    </row>
    <row r="198" spans="1:5">
      <c r="A198" s="2831">
        <v>613</v>
      </c>
      <c r="B198" s="2831" t="s">
        <v>2374</v>
      </c>
      <c r="C198" s="2831">
        <v>1050</v>
      </c>
      <c r="D198" s="2831" t="s">
        <v>2376</v>
      </c>
      <c r="E198" s="2831" t="s">
        <v>2174</v>
      </c>
    </row>
    <row r="199" spans="1:5">
      <c r="A199" s="2831">
        <v>613</v>
      </c>
      <c r="B199" s="2831" t="s">
        <v>2374</v>
      </c>
      <c r="C199" s="2831">
        <v>194</v>
      </c>
      <c r="D199" s="2831" t="s">
        <v>2377</v>
      </c>
      <c r="E199" s="2831" t="s">
        <v>2166</v>
      </c>
    </row>
    <row r="200" spans="1:5">
      <c r="A200" s="2831">
        <v>613</v>
      </c>
      <c r="B200" s="2831" t="s">
        <v>2374</v>
      </c>
      <c r="C200" s="2831">
        <v>2050</v>
      </c>
      <c r="D200" s="2831" t="s">
        <v>2378</v>
      </c>
      <c r="E200" s="2831" t="s">
        <v>2174</v>
      </c>
    </row>
    <row r="201" spans="1:5">
      <c r="A201" s="2831">
        <v>613</v>
      </c>
      <c r="B201" s="2831" t="s">
        <v>2374</v>
      </c>
      <c r="C201" s="2831">
        <v>294</v>
      </c>
      <c r="D201" s="2831" t="s">
        <v>2379</v>
      </c>
      <c r="E201" s="2831" t="s">
        <v>2174</v>
      </c>
    </row>
    <row r="202" spans="1:5">
      <c r="A202" s="2831">
        <v>613</v>
      </c>
      <c r="B202" s="2831" t="s">
        <v>2374</v>
      </c>
      <c r="C202" s="2831">
        <v>3050</v>
      </c>
      <c r="D202" s="2831" t="s">
        <v>2380</v>
      </c>
      <c r="E202" s="2831" t="s">
        <v>2174</v>
      </c>
    </row>
    <row r="203" spans="1:5">
      <c r="A203" s="2831">
        <v>613</v>
      </c>
      <c r="B203" s="2831" t="s">
        <v>2374</v>
      </c>
      <c r="C203" s="2831">
        <v>101</v>
      </c>
      <c r="D203" s="2831" t="s">
        <v>2381</v>
      </c>
      <c r="E203" s="2831" t="s">
        <v>2174</v>
      </c>
    </row>
    <row r="204" spans="1:5">
      <c r="A204" s="2831">
        <v>763</v>
      </c>
      <c r="B204" s="2831" t="s">
        <v>2382</v>
      </c>
      <c r="C204" s="2831">
        <v>110</v>
      </c>
      <c r="D204" s="2831" t="s">
        <v>2383</v>
      </c>
      <c r="E204" s="2831" t="s">
        <v>2166</v>
      </c>
    </row>
    <row r="205" spans="1:5">
      <c r="A205" s="2831">
        <v>763</v>
      </c>
      <c r="B205" s="2831" t="s">
        <v>2382</v>
      </c>
      <c r="C205" s="2831">
        <v>201</v>
      </c>
      <c r="D205" s="2831" t="s">
        <v>2384</v>
      </c>
      <c r="E205" s="2831" t="s">
        <v>2169</v>
      </c>
    </row>
    <row r="206" spans="1:5">
      <c r="A206" s="2831">
        <v>763</v>
      </c>
      <c r="B206" s="2831" t="s">
        <v>2382</v>
      </c>
      <c r="C206" s="2831">
        <v>209</v>
      </c>
      <c r="D206" s="2831" t="s">
        <v>2385</v>
      </c>
      <c r="E206" s="2831" t="s">
        <v>2166</v>
      </c>
    </row>
    <row r="207" spans="1:5">
      <c r="A207" s="2831">
        <v>763</v>
      </c>
      <c r="B207" s="2831" t="s">
        <v>2382</v>
      </c>
      <c r="C207" s="2831">
        <v>2050</v>
      </c>
      <c r="D207" s="2831" t="s">
        <v>2386</v>
      </c>
      <c r="E207" s="2831" t="s">
        <v>2174</v>
      </c>
    </row>
    <row r="208" spans="1:5">
      <c r="A208" s="2831">
        <v>614</v>
      </c>
      <c r="B208" s="2831" t="s">
        <v>2387</v>
      </c>
      <c r="C208" s="2831">
        <v>110</v>
      </c>
      <c r="D208" s="2831" t="s">
        <v>2388</v>
      </c>
      <c r="E208" s="2831" t="s">
        <v>2174</v>
      </c>
    </row>
    <row r="209" spans="1:5">
      <c r="A209" s="2831">
        <v>614</v>
      </c>
      <c r="B209" s="2831" t="s">
        <v>2387</v>
      </c>
      <c r="C209" s="2831">
        <v>197</v>
      </c>
      <c r="D209" s="2831" t="s">
        <v>2389</v>
      </c>
      <c r="E209" s="2831" t="s">
        <v>2166</v>
      </c>
    </row>
    <row r="210" spans="1:5">
      <c r="A210" s="2831">
        <v>614</v>
      </c>
      <c r="B210" s="2831" t="s">
        <v>2387</v>
      </c>
      <c r="C210" s="2831">
        <v>394</v>
      </c>
      <c r="D210" s="2831" t="s">
        <v>2390</v>
      </c>
      <c r="E210" s="2831" t="s">
        <v>2169</v>
      </c>
    </row>
    <row r="211" spans="1:5">
      <c r="A211" s="2831">
        <v>614</v>
      </c>
      <c r="B211" s="2831" t="s">
        <v>2387</v>
      </c>
      <c r="C211" s="2831">
        <v>393</v>
      </c>
      <c r="D211" s="2831" t="s">
        <v>2391</v>
      </c>
      <c r="E211" s="2831" t="s">
        <v>2166</v>
      </c>
    </row>
    <row r="212" spans="1:5">
      <c r="A212" s="2831">
        <v>614</v>
      </c>
      <c r="B212" s="2831" t="s">
        <v>2387</v>
      </c>
      <c r="C212" s="2831">
        <v>193</v>
      </c>
      <c r="D212" s="2831" t="s">
        <v>2392</v>
      </c>
      <c r="E212" s="2831" t="s">
        <v>2169</v>
      </c>
    </row>
    <row r="213" spans="1:5">
      <c r="A213" s="2831">
        <v>615</v>
      </c>
      <c r="B213" s="2831" t="s">
        <v>2393</v>
      </c>
      <c r="C213" s="2831">
        <v>286</v>
      </c>
      <c r="D213" s="2831" t="s">
        <v>2394</v>
      </c>
      <c r="E213" s="2831" t="s">
        <v>2174</v>
      </c>
    </row>
    <row r="214" spans="1:5">
      <c r="A214" s="2831">
        <v>615</v>
      </c>
      <c r="B214" s="2831" t="s">
        <v>2393</v>
      </c>
      <c r="C214" s="2831">
        <v>502</v>
      </c>
      <c r="D214" s="2831" t="s">
        <v>2395</v>
      </c>
      <c r="E214" s="2831" t="s">
        <v>2174</v>
      </c>
    </row>
    <row r="215" spans="1:5">
      <c r="A215" s="2831">
        <v>615</v>
      </c>
      <c r="B215" s="2831" t="s">
        <v>2393</v>
      </c>
      <c r="C215" s="2831">
        <v>402</v>
      </c>
      <c r="D215" s="2831" t="s">
        <v>2396</v>
      </c>
      <c r="E215" s="2831" t="s">
        <v>2166</v>
      </c>
    </row>
    <row r="216" spans="1:5">
      <c r="A216" s="2831">
        <v>615</v>
      </c>
      <c r="B216" s="2831" t="s">
        <v>2393</v>
      </c>
      <c r="C216" s="2831">
        <v>101</v>
      </c>
      <c r="D216" s="2831" t="s">
        <v>2397</v>
      </c>
      <c r="E216" s="2831" t="s">
        <v>2174</v>
      </c>
    </row>
    <row r="217" spans="1:5">
      <c r="A217" s="2831">
        <v>615</v>
      </c>
      <c r="B217" s="2831" t="s">
        <v>2393</v>
      </c>
      <c r="C217" s="2831">
        <v>504</v>
      </c>
      <c r="D217" s="2831" t="s">
        <v>2398</v>
      </c>
      <c r="E217" s="2831" t="s">
        <v>2174</v>
      </c>
    </row>
    <row r="218" spans="1:5">
      <c r="A218" s="2831">
        <v>615</v>
      </c>
      <c r="B218" s="2831" t="s">
        <v>2393</v>
      </c>
      <c r="C218" s="2831">
        <v>503</v>
      </c>
      <c r="D218" s="2831" t="s">
        <v>2399</v>
      </c>
      <c r="E218" s="2831" t="s">
        <v>2166</v>
      </c>
    </row>
    <row r="219" spans="1:5">
      <c r="A219" s="2831">
        <v>615</v>
      </c>
      <c r="B219" s="2831" t="s">
        <v>2393</v>
      </c>
      <c r="C219" s="2831">
        <v>302</v>
      </c>
      <c r="D219" s="2831" t="s">
        <v>2400</v>
      </c>
      <c r="E219" s="2831" t="s">
        <v>2169</v>
      </c>
    </row>
    <row r="220" spans="1:5">
      <c r="A220" s="2831">
        <v>615</v>
      </c>
      <c r="B220" s="2831" t="s">
        <v>2393</v>
      </c>
      <c r="C220" s="2831">
        <v>182</v>
      </c>
      <c r="D220" s="2831" t="s">
        <v>2401</v>
      </c>
      <c r="E220" s="2831" t="s">
        <v>2166</v>
      </c>
    </row>
    <row r="221" spans="1:5">
      <c r="A221" s="2831">
        <v>615</v>
      </c>
      <c r="B221" s="2831" t="s">
        <v>2393</v>
      </c>
      <c r="C221" s="2831">
        <v>199</v>
      </c>
      <c r="D221" s="2831" t="s">
        <v>2402</v>
      </c>
      <c r="E221" s="2831" t="s">
        <v>2166</v>
      </c>
    </row>
    <row r="222" spans="1:5">
      <c r="A222" s="2831">
        <v>615</v>
      </c>
      <c r="B222" s="2831" t="s">
        <v>2393</v>
      </c>
      <c r="C222" s="2831">
        <v>202</v>
      </c>
      <c r="D222" s="2831" t="s">
        <v>2403</v>
      </c>
      <c r="E222" s="2831" t="s">
        <v>2169</v>
      </c>
    </row>
    <row r="223" spans="1:5">
      <c r="A223" s="2831">
        <v>764</v>
      </c>
      <c r="B223" s="2831" t="s">
        <v>2404</v>
      </c>
      <c r="C223" s="2831">
        <v>100</v>
      </c>
      <c r="D223" s="2831" t="s">
        <v>2405</v>
      </c>
      <c r="E223" s="2831" t="s">
        <v>2174</v>
      </c>
    </row>
    <row r="224" spans="1:5">
      <c r="A224" s="2831">
        <v>764</v>
      </c>
      <c r="B224" s="2831" t="s">
        <v>2404</v>
      </c>
      <c r="C224" s="2831">
        <v>191</v>
      </c>
      <c r="D224" s="2831" t="s">
        <v>2406</v>
      </c>
      <c r="E224" s="2831" t="s">
        <v>2166</v>
      </c>
    </row>
    <row r="225" spans="1:5">
      <c r="A225" s="2831">
        <v>764</v>
      </c>
      <c r="B225" s="2831" t="s">
        <v>2404</v>
      </c>
      <c r="C225" s="2831">
        <v>104</v>
      </c>
      <c r="D225" s="2831" t="s">
        <v>2407</v>
      </c>
      <c r="E225" s="2831" t="s">
        <v>2166</v>
      </c>
    </row>
    <row r="226" spans="1:5">
      <c r="A226" s="2831">
        <v>764</v>
      </c>
      <c r="B226" s="2831" t="s">
        <v>2404</v>
      </c>
      <c r="C226" s="2831">
        <v>292</v>
      </c>
      <c r="D226" s="2831" t="s">
        <v>2408</v>
      </c>
      <c r="E226" s="2831" t="s">
        <v>2166</v>
      </c>
    </row>
    <row r="227" spans="1:5">
      <c r="A227" s="2831">
        <v>616</v>
      </c>
      <c r="B227" s="2831" t="s">
        <v>2409</v>
      </c>
      <c r="C227" s="2831">
        <v>200</v>
      </c>
      <c r="D227" s="2831" t="s">
        <v>2410</v>
      </c>
      <c r="E227" s="2831" t="s">
        <v>2174</v>
      </c>
    </row>
    <row r="228" spans="1:5">
      <c r="A228" s="2831">
        <v>616</v>
      </c>
      <c r="B228" s="2831" t="s">
        <v>2409</v>
      </c>
      <c r="C228" s="2831">
        <v>2050</v>
      </c>
      <c r="D228" s="2831" t="s">
        <v>2411</v>
      </c>
      <c r="E228" s="2831" t="s">
        <v>2174</v>
      </c>
    </row>
    <row r="229" spans="1:5">
      <c r="A229" s="2831">
        <v>616</v>
      </c>
      <c r="B229" s="2831" t="s">
        <v>2409</v>
      </c>
      <c r="C229" s="2831">
        <v>199</v>
      </c>
      <c r="D229" s="2831" t="s">
        <v>2412</v>
      </c>
      <c r="E229" s="2831" t="s">
        <v>2166</v>
      </c>
    </row>
    <row r="230" spans="1:5">
      <c r="A230" s="2831">
        <v>616</v>
      </c>
      <c r="B230" s="2831" t="s">
        <v>2409</v>
      </c>
      <c r="C230" s="2831">
        <v>299</v>
      </c>
      <c r="D230" s="2831" t="s">
        <v>2413</v>
      </c>
      <c r="E230" s="2831" t="s">
        <v>2174</v>
      </c>
    </row>
    <row r="231" spans="1:5">
      <c r="A231" s="2831">
        <v>616</v>
      </c>
      <c r="B231" s="2831" t="s">
        <v>2409</v>
      </c>
      <c r="C231" s="2831">
        <v>5050</v>
      </c>
      <c r="D231" s="2831" t="s">
        <v>2414</v>
      </c>
      <c r="E231" s="2831" t="s">
        <v>2174</v>
      </c>
    </row>
    <row r="232" spans="1:5">
      <c r="A232" s="2831">
        <v>616</v>
      </c>
      <c r="B232" s="2831" t="s">
        <v>2409</v>
      </c>
      <c r="C232" s="2831">
        <v>100</v>
      </c>
      <c r="D232" s="2831" t="s">
        <v>2415</v>
      </c>
      <c r="E232" s="2831" t="s">
        <v>2174</v>
      </c>
    </row>
    <row r="233" spans="1:5">
      <c r="A233" s="2831">
        <v>616</v>
      </c>
      <c r="B233" s="2831" t="s">
        <v>2409</v>
      </c>
      <c r="C233" s="2831">
        <v>107</v>
      </c>
      <c r="D233" s="2831" t="s">
        <v>2416</v>
      </c>
      <c r="E233" s="2831" t="s">
        <v>2174</v>
      </c>
    </row>
    <row r="234" spans="1:5">
      <c r="A234" s="2831">
        <v>616</v>
      </c>
      <c r="B234" s="2831" t="s">
        <v>2409</v>
      </c>
      <c r="C234" s="2831">
        <v>399</v>
      </c>
      <c r="D234" s="2831" t="s">
        <v>2417</v>
      </c>
      <c r="E234" s="2831" t="s">
        <v>2169</v>
      </c>
    </row>
    <row r="235" spans="1:5">
      <c r="A235" s="2831">
        <v>616</v>
      </c>
      <c r="B235" s="2831" t="s">
        <v>2409</v>
      </c>
      <c r="C235" s="2831">
        <v>4052</v>
      </c>
      <c r="D235" s="2831" t="s">
        <v>2418</v>
      </c>
      <c r="E235" s="2831" t="s">
        <v>2169</v>
      </c>
    </row>
    <row r="236" spans="1:5">
      <c r="A236" s="2831">
        <v>616</v>
      </c>
      <c r="B236" s="2831" t="s">
        <v>2409</v>
      </c>
      <c r="C236" s="2831">
        <v>5054</v>
      </c>
      <c r="D236" s="2831" t="s">
        <v>2419</v>
      </c>
      <c r="E236" s="2831" t="s">
        <v>2166</v>
      </c>
    </row>
    <row r="237" spans="1:5">
      <c r="A237" s="2831">
        <v>616</v>
      </c>
      <c r="B237" s="2831" t="s">
        <v>2409</v>
      </c>
      <c r="C237" s="2831">
        <v>203</v>
      </c>
      <c r="D237" s="2831" t="s">
        <v>2420</v>
      </c>
      <c r="E237" s="2831" t="s">
        <v>2174</v>
      </c>
    </row>
    <row r="238" spans="1:5">
      <c r="A238" s="2831">
        <v>616</v>
      </c>
      <c r="B238" s="2831" t="s">
        <v>2409</v>
      </c>
      <c r="C238" s="2831">
        <v>300</v>
      </c>
      <c r="D238" s="2831" t="s">
        <v>2421</v>
      </c>
      <c r="E238" s="2831" t="s">
        <v>2166</v>
      </c>
    </row>
    <row r="239" spans="1:5">
      <c r="A239" s="2831">
        <v>616</v>
      </c>
      <c r="B239" s="2831" t="s">
        <v>2409</v>
      </c>
      <c r="C239" s="2831">
        <v>2054</v>
      </c>
      <c r="D239" s="2831" t="s">
        <v>2422</v>
      </c>
      <c r="E239" s="2831" t="s">
        <v>2166</v>
      </c>
    </row>
    <row r="240" spans="1:5">
      <c r="A240" s="2831">
        <v>616</v>
      </c>
      <c r="B240" s="2831" t="s">
        <v>2409</v>
      </c>
      <c r="C240" s="2831">
        <v>3054</v>
      </c>
      <c r="D240" s="2831" t="s">
        <v>2423</v>
      </c>
      <c r="E240" s="2831" t="s">
        <v>2166</v>
      </c>
    </row>
    <row r="241" spans="1:5">
      <c r="A241" s="2831">
        <v>616</v>
      </c>
      <c r="B241" s="2831" t="s">
        <v>2409</v>
      </c>
      <c r="C241" s="2831">
        <v>198</v>
      </c>
      <c r="D241" s="2831" t="s">
        <v>2424</v>
      </c>
      <c r="E241" s="2831" t="s">
        <v>2166</v>
      </c>
    </row>
    <row r="242" spans="1:5">
      <c r="A242" s="2831">
        <v>617</v>
      </c>
      <c r="B242" s="2831" t="s">
        <v>2425</v>
      </c>
      <c r="C242" s="2831">
        <v>104</v>
      </c>
      <c r="D242" s="2831" t="s">
        <v>2426</v>
      </c>
      <c r="E242" s="2831" t="s">
        <v>2174</v>
      </c>
    </row>
    <row r="243" spans="1:5">
      <c r="A243" s="2831">
        <v>617</v>
      </c>
      <c r="B243" s="2831" t="s">
        <v>2425</v>
      </c>
      <c r="C243" s="2831">
        <v>288</v>
      </c>
      <c r="D243" s="2831" t="s">
        <v>2427</v>
      </c>
      <c r="E243" s="2831" t="s">
        <v>2166</v>
      </c>
    </row>
    <row r="244" spans="1:5">
      <c r="A244" s="2831">
        <v>617</v>
      </c>
      <c r="B244" s="2831" t="s">
        <v>2425</v>
      </c>
      <c r="C244" s="2831">
        <v>188</v>
      </c>
      <c r="D244" s="2831" t="s">
        <v>2428</v>
      </c>
      <c r="E244" s="2831" t="s">
        <v>2174</v>
      </c>
    </row>
    <row r="245" spans="1:5">
      <c r="A245" s="2831">
        <v>617</v>
      </c>
      <c r="B245" s="2831" t="s">
        <v>2425</v>
      </c>
      <c r="C245" s="2831">
        <v>196</v>
      </c>
      <c r="D245" s="2831" t="s">
        <v>2429</v>
      </c>
      <c r="E245" s="2831" t="s">
        <v>2166</v>
      </c>
    </row>
    <row r="246" spans="1:5">
      <c r="A246" s="2831">
        <v>617</v>
      </c>
      <c r="B246" s="2831" t="s">
        <v>2425</v>
      </c>
      <c r="C246" s="2831">
        <v>2056</v>
      </c>
      <c r="D246" s="2831" t="s">
        <v>2430</v>
      </c>
      <c r="E246" s="2831" t="s">
        <v>2166</v>
      </c>
    </row>
    <row r="247" spans="1:5">
      <c r="A247" s="2831">
        <v>618</v>
      </c>
      <c r="B247" s="2831" t="s">
        <v>2431</v>
      </c>
      <c r="C247" s="2831">
        <v>104</v>
      </c>
      <c r="D247" s="2831" t="s">
        <v>2432</v>
      </c>
      <c r="E247" s="2831" t="s">
        <v>2166</v>
      </c>
    </row>
    <row r="248" spans="1:5">
      <c r="A248" s="2831">
        <v>618</v>
      </c>
      <c r="B248" s="2831" t="s">
        <v>2431</v>
      </c>
      <c r="C248" s="2831">
        <v>100</v>
      </c>
      <c r="D248" s="2831" t="s">
        <v>2433</v>
      </c>
      <c r="E248" s="2831" t="s">
        <v>2166</v>
      </c>
    </row>
    <row r="249" spans="1:5">
      <c r="A249" s="2831">
        <v>618</v>
      </c>
      <c r="B249" s="2831" t="s">
        <v>2431</v>
      </c>
      <c r="C249" s="2831">
        <v>111</v>
      </c>
      <c r="D249" s="2831" t="s">
        <v>2216</v>
      </c>
      <c r="E249" s="2831" t="s">
        <v>2169</v>
      </c>
    </row>
    <row r="250" spans="1:5">
      <c r="A250" s="2831">
        <v>618</v>
      </c>
      <c r="B250" s="2831" t="s">
        <v>2431</v>
      </c>
      <c r="C250" s="2831">
        <v>190</v>
      </c>
      <c r="D250" s="2831" t="s">
        <v>2434</v>
      </c>
      <c r="E250" s="2831" t="s">
        <v>2166</v>
      </c>
    </row>
    <row r="251" spans="1:5">
      <c r="A251" s="2831">
        <v>618</v>
      </c>
      <c r="B251" s="2831" t="s">
        <v>2431</v>
      </c>
      <c r="C251" s="2831">
        <v>108</v>
      </c>
      <c r="D251" s="2831" t="s">
        <v>2435</v>
      </c>
      <c r="E251" s="2831" t="s">
        <v>2169</v>
      </c>
    </row>
    <row r="252" spans="1:5">
      <c r="A252" s="2831">
        <v>765</v>
      </c>
      <c r="B252" s="2831" t="s">
        <v>2436</v>
      </c>
      <c r="C252" s="2831">
        <v>405</v>
      </c>
      <c r="D252" s="2831" t="s">
        <v>2437</v>
      </c>
      <c r="E252" s="2831" t="s">
        <v>2166</v>
      </c>
    </row>
    <row r="253" spans="1:5">
      <c r="A253" s="2831">
        <v>765</v>
      </c>
      <c r="B253" s="2831" t="s">
        <v>2436</v>
      </c>
      <c r="C253" s="2831">
        <v>3050</v>
      </c>
      <c r="D253" s="2831" t="s">
        <v>2438</v>
      </c>
      <c r="E253" s="2831" t="s">
        <v>2174</v>
      </c>
    </row>
    <row r="254" spans="1:5">
      <c r="A254" s="2831">
        <v>765</v>
      </c>
      <c r="B254" s="2831" t="s">
        <v>2436</v>
      </c>
      <c r="C254" s="2831">
        <v>205</v>
      </c>
      <c r="D254" s="2831" t="s">
        <v>2439</v>
      </c>
      <c r="E254" s="2831" t="s">
        <v>2169</v>
      </c>
    </row>
    <row r="255" spans="1:5">
      <c r="A255" s="2831">
        <v>765</v>
      </c>
      <c r="B255" s="2831" t="s">
        <v>2436</v>
      </c>
      <c r="C255" s="2831">
        <v>305</v>
      </c>
      <c r="D255" s="2831" t="s">
        <v>2440</v>
      </c>
      <c r="E255" s="2831" t="s">
        <v>2169</v>
      </c>
    </row>
    <row r="256" spans="1:5">
      <c r="A256" s="2831">
        <v>619</v>
      </c>
      <c r="B256" s="2831" t="s">
        <v>2441</v>
      </c>
      <c r="C256" s="2831">
        <v>179</v>
      </c>
      <c r="D256" s="2831" t="s">
        <v>2442</v>
      </c>
      <c r="E256" s="2831" t="s">
        <v>2166</v>
      </c>
    </row>
    <row r="257" spans="1:5">
      <c r="A257" s="2831">
        <v>619</v>
      </c>
      <c r="B257" s="2831" t="s">
        <v>2441</v>
      </c>
      <c r="C257" s="2831">
        <v>113</v>
      </c>
      <c r="D257" s="2831" t="s">
        <v>2443</v>
      </c>
      <c r="E257" s="2831" t="s">
        <v>2169</v>
      </c>
    </row>
    <row r="258" spans="1:5">
      <c r="A258" s="2831">
        <v>619</v>
      </c>
      <c r="B258" s="2831" t="s">
        <v>2441</v>
      </c>
      <c r="C258" s="2831">
        <v>213</v>
      </c>
      <c r="D258" s="2831" t="s">
        <v>2444</v>
      </c>
      <c r="E258" s="2831" t="s">
        <v>2166</v>
      </c>
    </row>
    <row r="259" spans="1:5">
      <c r="A259" s="2831">
        <v>620</v>
      </c>
      <c r="B259" s="2831" t="s">
        <v>2445</v>
      </c>
      <c r="C259" s="2831">
        <v>295</v>
      </c>
      <c r="D259" s="2831" t="s">
        <v>2446</v>
      </c>
      <c r="E259" s="2831" t="s">
        <v>2174</v>
      </c>
    </row>
    <row r="260" spans="1:5">
      <c r="A260" s="2831">
        <v>620</v>
      </c>
      <c r="B260" s="2831" t="s">
        <v>2445</v>
      </c>
      <c r="C260" s="2831">
        <v>182</v>
      </c>
      <c r="D260" s="2831" t="s">
        <v>2447</v>
      </c>
      <c r="E260" s="2831" t="s">
        <v>2174</v>
      </c>
    </row>
    <row r="261" spans="1:5">
      <c r="A261" s="2831">
        <v>620</v>
      </c>
      <c r="B261" s="2831" t="s">
        <v>2445</v>
      </c>
      <c r="C261" s="2831">
        <v>187</v>
      </c>
      <c r="D261" s="2831" t="s">
        <v>2448</v>
      </c>
      <c r="E261" s="2831" t="s">
        <v>2174</v>
      </c>
    </row>
    <row r="262" spans="1:5">
      <c r="A262" s="2831">
        <v>620</v>
      </c>
      <c r="B262" s="2831" t="s">
        <v>2445</v>
      </c>
      <c r="C262" s="2831">
        <v>195</v>
      </c>
      <c r="D262" s="2831" t="s">
        <v>2449</v>
      </c>
      <c r="E262" s="2831" t="s">
        <v>2166</v>
      </c>
    </row>
    <row r="263" spans="1:5">
      <c r="A263" s="2831">
        <v>620</v>
      </c>
      <c r="B263" s="2831" t="s">
        <v>2445</v>
      </c>
      <c r="C263" s="2831">
        <v>193</v>
      </c>
      <c r="D263" s="2831" t="s">
        <v>2450</v>
      </c>
      <c r="E263" s="2831" t="s">
        <v>2174</v>
      </c>
    </row>
    <row r="264" spans="1:5">
      <c r="A264" s="2831">
        <v>620</v>
      </c>
      <c r="B264" s="2831" t="s">
        <v>2445</v>
      </c>
      <c r="C264" s="2831">
        <v>100</v>
      </c>
      <c r="D264" s="2831" t="s">
        <v>2451</v>
      </c>
      <c r="E264" s="2831" t="s">
        <v>2174</v>
      </c>
    </row>
    <row r="265" spans="1:5">
      <c r="A265" s="2831">
        <v>620</v>
      </c>
      <c r="B265" s="2831" t="s">
        <v>2445</v>
      </c>
      <c r="C265" s="2831">
        <v>495</v>
      </c>
      <c r="D265" s="2831" t="s">
        <v>2452</v>
      </c>
      <c r="E265" s="2831" t="s">
        <v>2166</v>
      </c>
    </row>
    <row r="266" spans="1:5">
      <c r="A266" s="2831">
        <v>620</v>
      </c>
      <c r="B266" s="2831" t="s">
        <v>2445</v>
      </c>
      <c r="C266" s="2831">
        <v>189</v>
      </c>
      <c r="D266" s="2831" t="s">
        <v>2453</v>
      </c>
      <c r="E266" s="2831" t="s">
        <v>2166</v>
      </c>
    </row>
    <row r="267" spans="1:5">
      <c r="A267" s="2831">
        <v>620</v>
      </c>
      <c r="B267" s="2831" t="s">
        <v>2445</v>
      </c>
      <c r="C267" s="2831">
        <v>110</v>
      </c>
      <c r="D267" s="2831" t="s">
        <v>2454</v>
      </c>
      <c r="E267" s="2831" t="s">
        <v>2174</v>
      </c>
    </row>
    <row r="268" spans="1:5">
      <c r="A268" s="2831">
        <v>620</v>
      </c>
      <c r="B268" s="2831" t="s">
        <v>2445</v>
      </c>
      <c r="C268" s="2831">
        <v>105</v>
      </c>
      <c r="D268" s="2831" t="s">
        <v>2455</v>
      </c>
      <c r="E268" s="2831" t="s">
        <v>2166</v>
      </c>
    </row>
    <row r="269" spans="1:5">
      <c r="A269" s="2831">
        <v>620</v>
      </c>
      <c r="B269" s="2831" t="s">
        <v>2445</v>
      </c>
      <c r="C269" s="2831">
        <v>197</v>
      </c>
      <c r="D269" s="2831" t="s">
        <v>2456</v>
      </c>
      <c r="E269" s="2831" t="s">
        <v>2166</v>
      </c>
    </row>
    <row r="270" spans="1:5">
      <c r="A270" s="2831">
        <v>620</v>
      </c>
      <c r="B270" s="2831" t="s">
        <v>2445</v>
      </c>
      <c r="C270" s="2831">
        <v>192</v>
      </c>
      <c r="D270" s="2831" t="s">
        <v>2457</v>
      </c>
      <c r="E270" s="2831" t="s">
        <v>2174</v>
      </c>
    </row>
    <row r="271" spans="1:5">
      <c r="A271" s="2831">
        <v>621</v>
      </c>
      <c r="B271" s="2831" t="s">
        <v>2458</v>
      </c>
      <c r="C271" s="2831">
        <v>303</v>
      </c>
      <c r="D271" s="2831" t="s">
        <v>2459</v>
      </c>
      <c r="E271" s="2831" t="s">
        <v>2174</v>
      </c>
    </row>
    <row r="272" spans="1:5">
      <c r="A272" s="2831">
        <v>621</v>
      </c>
      <c r="B272" s="2831" t="s">
        <v>2458</v>
      </c>
      <c r="C272" s="2831">
        <v>302</v>
      </c>
      <c r="D272" s="2831" t="s">
        <v>2460</v>
      </c>
      <c r="E272" s="2831" t="s">
        <v>2174</v>
      </c>
    </row>
    <row r="273" spans="1:5">
      <c r="A273" s="2831">
        <v>621</v>
      </c>
      <c r="B273" s="2831" t="s">
        <v>2458</v>
      </c>
      <c r="C273" s="2831">
        <v>101</v>
      </c>
      <c r="D273" s="2831" t="s">
        <v>2461</v>
      </c>
      <c r="E273" s="2831" t="s">
        <v>2166</v>
      </c>
    </row>
    <row r="274" spans="1:5">
      <c r="A274" s="2831">
        <v>621</v>
      </c>
      <c r="B274" s="2831" t="s">
        <v>2458</v>
      </c>
      <c r="C274" s="2831">
        <v>102</v>
      </c>
      <c r="D274" s="2831" t="s">
        <v>2462</v>
      </c>
      <c r="E274" s="2831" t="s">
        <v>2166</v>
      </c>
    </row>
    <row r="275" spans="1:5">
      <c r="A275" s="2831">
        <v>622</v>
      </c>
      <c r="B275" s="2831" t="s">
        <v>2463</v>
      </c>
      <c r="C275" s="2831">
        <v>198</v>
      </c>
      <c r="D275" s="2831" t="s">
        <v>2464</v>
      </c>
      <c r="E275" s="2831" t="s">
        <v>2169</v>
      </c>
    </row>
    <row r="276" spans="1:5">
      <c r="A276" s="2831">
        <v>622</v>
      </c>
      <c r="B276" s="2831" t="s">
        <v>2463</v>
      </c>
      <c r="C276" s="2831">
        <v>2050</v>
      </c>
      <c r="D276" s="2831" t="s">
        <v>2465</v>
      </c>
      <c r="E276" s="2831" t="s">
        <v>2166</v>
      </c>
    </row>
    <row r="277" spans="1:5">
      <c r="A277" s="2831">
        <v>622</v>
      </c>
      <c r="B277" s="2831" t="s">
        <v>2463</v>
      </c>
      <c r="C277" s="2831">
        <v>3050</v>
      </c>
      <c r="D277" s="2831" t="s">
        <v>2466</v>
      </c>
      <c r="E277" s="2831" t="s">
        <v>2169</v>
      </c>
    </row>
    <row r="278" spans="1:5">
      <c r="A278" s="2831">
        <v>622</v>
      </c>
      <c r="B278" s="2831" t="s">
        <v>2463</v>
      </c>
      <c r="C278" s="2831">
        <v>101</v>
      </c>
      <c r="D278" s="2831" t="s">
        <v>2467</v>
      </c>
      <c r="E278" s="2831" t="s">
        <v>2169</v>
      </c>
    </row>
    <row r="279" spans="1:5">
      <c r="A279" s="2831">
        <v>622</v>
      </c>
      <c r="B279" s="2831" t="s">
        <v>2463</v>
      </c>
      <c r="C279" s="2831">
        <v>5050</v>
      </c>
      <c r="D279" s="2831" t="s">
        <v>2468</v>
      </c>
      <c r="E279" s="2831" t="s">
        <v>2174</v>
      </c>
    </row>
    <row r="280" spans="1:5">
      <c r="A280" s="2831">
        <v>622</v>
      </c>
      <c r="B280" s="2831" t="s">
        <v>2463</v>
      </c>
      <c r="C280" s="2831">
        <v>2052</v>
      </c>
      <c r="D280" s="2831" t="s">
        <v>2341</v>
      </c>
      <c r="E280" s="2831" t="s">
        <v>2166</v>
      </c>
    </row>
    <row r="281" spans="1:5">
      <c r="A281" s="2831">
        <v>622</v>
      </c>
      <c r="B281" s="2831" t="s">
        <v>2463</v>
      </c>
      <c r="C281" s="2831">
        <v>177</v>
      </c>
      <c r="D281" s="2831" t="s">
        <v>2469</v>
      </c>
      <c r="E281" s="2831" t="s">
        <v>2166</v>
      </c>
    </row>
    <row r="282" spans="1:5">
      <c r="A282" s="2831">
        <v>622</v>
      </c>
      <c r="B282" s="2831" t="s">
        <v>2463</v>
      </c>
      <c r="C282" s="2831">
        <v>605</v>
      </c>
      <c r="D282" s="2831" t="s">
        <v>2470</v>
      </c>
      <c r="E282" s="2831" t="s">
        <v>2166</v>
      </c>
    </row>
    <row r="283" spans="1:5">
      <c r="A283" s="2831">
        <v>622</v>
      </c>
      <c r="B283" s="2831" t="s">
        <v>2463</v>
      </c>
      <c r="C283" s="2831">
        <v>405</v>
      </c>
      <c r="D283" s="2831" t="s">
        <v>2471</v>
      </c>
      <c r="E283" s="2831" t="s">
        <v>2166</v>
      </c>
    </row>
    <row r="284" spans="1:5">
      <c r="A284" s="2831">
        <v>622</v>
      </c>
      <c r="B284" s="2831" t="s">
        <v>2463</v>
      </c>
      <c r="C284" s="2831">
        <v>176</v>
      </c>
      <c r="D284" s="2831" t="s">
        <v>2472</v>
      </c>
      <c r="E284" s="2831" t="s">
        <v>2166</v>
      </c>
    </row>
    <row r="285" spans="1:5">
      <c r="A285" s="2831">
        <v>622</v>
      </c>
      <c r="B285" s="2831" t="s">
        <v>2463</v>
      </c>
      <c r="C285" s="2831">
        <v>212</v>
      </c>
      <c r="D285" s="2831" t="s">
        <v>2473</v>
      </c>
      <c r="E285" s="2831" t="s">
        <v>2174</v>
      </c>
    </row>
    <row r="286" spans="1:5">
      <c r="A286" s="2831">
        <v>622</v>
      </c>
      <c r="B286" s="2831" t="s">
        <v>2463</v>
      </c>
      <c r="C286" s="2831">
        <v>208</v>
      </c>
      <c r="D286" s="2831" t="s">
        <v>2474</v>
      </c>
      <c r="E286" s="2831" t="s">
        <v>2169</v>
      </c>
    </row>
    <row r="287" spans="1:5">
      <c r="A287" s="2831">
        <v>622</v>
      </c>
      <c r="B287" s="2831" t="s">
        <v>2463</v>
      </c>
      <c r="C287" s="2831">
        <v>115</v>
      </c>
      <c r="D287" s="2831" t="s">
        <v>2475</v>
      </c>
      <c r="E287" s="2831" t="s">
        <v>2174</v>
      </c>
    </row>
    <row r="288" spans="1:5">
      <c r="A288" s="2831">
        <v>622</v>
      </c>
      <c r="B288" s="2831" t="s">
        <v>2463</v>
      </c>
      <c r="C288" s="2831">
        <v>377</v>
      </c>
      <c r="D288" s="2831" t="s">
        <v>2476</v>
      </c>
      <c r="E288" s="2831" t="s">
        <v>2174</v>
      </c>
    </row>
    <row r="289" spans="1:5">
      <c r="A289" s="2831">
        <v>622</v>
      </c>
      <c r="B289" s="2831" t="s">
        <v>2463</v>
      </c>
      <c r="C289" s="2831">
        <v>5052</v>
      </c>
      <c r="D289" s="2831" t="s">
        <v>2477</v>
      </c>
      <c r="E289" s="2831" t="s">
        <v>2166</v>
      </c>
    </row>
    <row r="290" spans="1:5">
      <c r="A290" s="2831">
        <v>622</v>
      </c>
      <c r="B290" s="2831" t="s">
        <v>2463</v>
      </c>
      <c r="C290" s="2831">
        <v>100</v>
      </c>
      <c r="D290" s="2831" t="s">
        <v>2478</v>
      </c>
      <c r="E290" s="2831" t="s">
        <v>2166</v>
      </c>
    </row>
    <row r="291" spans="1:5">
      <c r="A291" s="2831">
        <v>622</v>
      </c>
      <c r="B291" s="2831" t="s">
        <v>2463</v>
      </c>
      <c r="C291" s="2831">
        <v>1054</v>
      </c>
      <c r="D291" s="2831" t="s">
        <v>2479</v>
      </c>
      <c r="E291" s="2831" t="s">
        <v>2166</v>
      </c>
    </row>
    <row r="292" spans="1:5">
      <c r="A292" s="2831">
        <v>622</v>
      </c>
      <c r="B292" s="2831" t="s">
        <v>2463</v>
      </c>
      <c r="C292" s="2831">
        <v>189</v>
      </c>
      <c r="D292" s="2831" t="s">
        <v>2480</v>
      </c>
      <c r="E292" s="2831" t="s">
        <v>2169</v>
      </c>
    </row>
    <row r="293" spans="1:5">
      <c r="A293" s="2831">
        <v>622</v>
      </c>
      <c r="B293" s="2831" t="s">
        <v>2463</v>
      </c>
      <c r="C293" s="2831">
        <v>102</v>
      </c>
      <c r="D293" s="2831" t="s">
        <v>2481</v>
      </c>
      <c r="E293" s="2831" t="s">
        <v>2169</v>
      </c>
    </row>
    <row r="294" spans="1:5">
      <c r="A294" s="2831">
        <v>622</v>
      </c>
      <c r="B294" s="2831" t="s">
        <v>2463</v>
      </c>
      <c r="C294" s="2831">
        <v>705</v>
      </c>
      <c r="D294" s="2831" t="s">
        <v>2482</v>
      </c>
      <c r="E294" s="2831" t="s">
        <v>2174</v>
      </c>
    </row>
    <row r="295" spans="1:5">
      <c r="A295" s="2831">
        <v>622</v>
      </c>
      <c r="B295" s="2831" t="s">
        <v>2463</v>
      </c>
      <c r="C295" s="2831">
        <v>5054</v>
      </c>
      <c r="D295" s="2831" t="s">
        <v>2483</v>
      </c>
      <c r="E295" s="2831" t="s">
        <v>2166</v>
      </c>
    </row>
    <row r="296" spans="1:5">
      <c r="A296" s="2831">
        <v>622</v>
      </c>
      <c r="B296" s="2831" t="s">
        <v>2463</v>
      </c>
      <c r="C296" s="2831">
        <v>305</v>
      </c>
      <c r="D296" s="2831" t="s">
        <v>2484</v>
      </c>
      <c r="E296" s="2831" t="s">
        <v>2169</v>
      </c>
    </row>
    <row r="297" spans="1:5">
      <c r="A297" s="2831">
        <v>622</v>
      </c>
      <c r="B297" s="2831" t="s">
        <v>2463</v>
      </c>
      <c r="C297" s="2831">
        <v>477</v>
      </c>
      <c r="D297" s="2831" t="s">
        <v>2485</v>
      </c>
      <c r="E297" s="2831" t="s">
        <v>2166</v>
      </c>
    </row>
    <row r="298" spans="1:5">
      <c r="A298" s="2831">
        <v>766</v>
      </c>
      <c r="B298" s="2831" t="s">
        <v>2486</v>
      </c>
      <c r="C298" s="2831">
        <v>193</v>
      </c>
      <c r="D298" s="2831" t="s">
        <v>2487</v>
      </c>
      <c r="E298" s="2831" t="s">
        <v>2166</v>
      </c>
    </row>
    <row r="299" spans="1:5">
      <c r="A299" s="2831">
        <v>766</v>
      </c>
      <c r="B299" s="2831" t="s">
        <v>2486</v>
      </c>
      <c r="C299" s="2831">
        <v>1050</v>
      </c>
      <c r="D299" s="2831" t="s">
        <v>2488</v>
      </c>
      <c r="E299" s="2831" t="s">
        <v>2166</v>
      </c>
    </row>
    <row r="300" spans="1:5">
      <c r="A300" s="2831">
        <v>766</v>
      </c>
      <c r="B300" s="2831" t="s">
        <v>2486</v>
      </c>
      <c r="C300" s="2831">
        <v>1550</v>
      </c>
      <c r="D300" s="2831" t="s">
        <v>2489</v>
      </c>
      <c r="E300" s="2831" t="s">
        <v>2166</v>
      </c>
    </row>
    <row r="301" spans="1:5">
      <c r="A301" s="2831">
        <v>766</v>
      </c>
      <c r="B301" s="2831" t="s">
        <v>2486</v>
      </c>
      <c r="C301" s="2831">
        <v>106</v>
      </c>
      <c r="D301" s="2831" t="s">
        <v>2490</v>
      </c>
      <c r="E301" s="2831" t="s">
        <v>2169</v>
      </c>
    </row>
    <row r="302" spans="1:5">
      <c r="A302" s="2831">
        <v>767</v>
      </c>
      <c r="B302" s="2831" t="s">
        <v>2491</v>
      </c>
      <c r="C302" s="2831">
        <v>191</v>
      </c>
      <c r="D302" s="2831" t="s">
        <v>2492</v>
      </c>
      <c r="E302" s="2831" t="s">
        <v>2166</v>
      </c>
    </row>
    <row r="303" spans="1:5">
      <c r="A303" s="2831">
        <v>767</v>
      </c>
      <c r="B303" s="2831" t="s">
        <v>2491</v>
      </c>
      <c r="C303" s="2831">
        <v>2050</v>
      </c>
      <c r="D303" s="2831" t="s">
        <v>2493</v>
      </c>
      <c r="E303" s="2831" t="s">
        <v>2166</v>
      </c>
    </row>
    <row r="304" spans="1:5">
      <c r="A304" s="2831">
        <v>767</v>
      </c>
      <c r="B304" s="2831" t="s">
        <v>2491</v>
      </c>
      <c r="C304" s="2831">
        <v>277</v>
      </c>
      <c r="D304" s="2831" t="s">
        <v>2494</v>
      </c>
      <c r="E304" s="2831" t="s">
        <v>2166</v>
      </c>
    </row>
    <row r="305" spans="1:5">
      <c r="A305" s="2831">
        <v>767</v>
      </c>
      <c r="B305" s="2831" t="s">
        <v>2491</v>
      </c>
      <c r="C305" s="2831">
        <v>177</v>
      </c>
      <c r="D305" s="2831" t="s">
        <v>2495</v>
      </c>
      <c r="E305" s="2831" t="s">
        <v>2169</v>
      </c>
    </row>
    <row r="306" spans="1:5">
      <c r="A306" s="2831">
        <v>623</v>
      </c>
      <c r="B306" s="2831" t="s">
        <v>2496</v>
      </c>
      <c r="C306" s="2831">
        <v>103</v>
      </c>
      <c r="D306" s="2831" t="s">
        <v>2497</v>
      </c>
      <c r="E306" s="2831" t="s">
        <v>2169</v>
      </c>
    </row>
    <row r="307" spans="1:5">
      <c r="A307" s="2831">
        <v>623</v>
      </c>
      <c r="B307" s="2831" t="s">
        <v>2496</v>
      </c>
      <c r="C307" s="2831">
        <v>102</v>
      </c>
      <c r="D307" s="2831" t="s">
        <v>2498</v>
      </c>
      <c r="E307" s="2831" t="s">
        <v>2169</v>
      </c>
    </row>
    <row r="308" spans="1:5">
      <c r="A308" s="2831">
        <v>623</v>
      </c>
      <c r="B308" s="2831" t="s">
        <v>2496</v>
      </c>
      <c r="C308" s="2831">
        <v>1050</v>
      </c>
      <c r="D308" s="2831" t="s">
        <v>2499</v>
      </c>
      <c r="E308" s="2831" t="s">
        <v>2166</v>
      </c>
    </row>
    <row r="309" spans="1:5">
      <c r="A309" s="2831">
        <v>623</v>
      </c>
      <c r="B309" s="2831" t="s">
        <v>2496</v>
      </c>
      <c r="C309" s="2831">
        <v>3050</v>
      </c>
      <c r="D309" s="2831" t="s">
        <v>2500</v>
      </c>
      <c r="E309" s="2831" t="s">
        <v>2166</v>
      </c>
    </row>
    <row r="310" spans="1:5">
      <c r="A310" s="2831">
        <v>623</v>
      </c>
      <c r="B310" s="2831" t="s">
        <v>2496</v>
      </c>
      <c r="C310" s="2831">
        <v>5050</v>
      </c>
      <c r="D310" s="2831" t="s">
        <v>2501</v>
      </c>
      <c r="E310" s="2831" t="s">
        <v>2166</v>
      </c>
    </row>
    <row r="311" spans="1:5">
      <c r="A311" s="2831">
        <v>623</v>
      </c>
      <c r="B311" s="2831" t="s">
        <v>2496</v>
      </c>
      <c r="C311" s="2831">
        <v>109</v>
      </c>
      <c r="D311" s="2831" t="s">
        <v>2502</v>
      </c>
      <c r="E311" s="2831" t="s">
        <v>2174</v>
      </c>
    </row>
    <row r="312" spans="1:5">
      <c r="A312" s="2831">
        <v>623</v>
      </c>
      <c r="B312" s="2831" t="s">
        <v>2496</v>
      </c>
      <c r="C312" s="2831">
        <v>205</v>
      </c>
      <c r="D312" s="2831" t="s">
        <v>2503</v>
      </c>
      <c r="E312" s="2831" t="s">
        <v>2174</v>
      </c>
    </row>
    <row r="313" spans="1:5">
      <c r="A313" s="2831">
        <v>623</v>
      </c>
      <c r="B313" s="2831" t="s">
        <v>2496</v>
      </c>
      <c r="C313" s="2831">
        <v>2552</v>
      </c>
      <c r="D313" s="2831" t="s">
        <v>2504</v>
      </c>
      <c r="E313" s="2831" t="s">
        <v>2166</v>
      </c>
    </row>
    <row r="314" spans="1:5">
      <c r="A314" s="2831">
        <v>623</v>
      </c>
      <c r="B314" s="2831" t="s">
        <v>2496</v>
      </c>
      <c r="C314" s="2831">
        <v>1052</v>
      </c>
      <c r="D314" s="2831" t="s">
        <v>2505</v>
      </c>
      <c r="E314" s="2831" t="s">
        <v>2166</v>
      </c>
    </row>
    <row r="315" spans="1:5">
      <c r="A315" s="2831">
        <v>623</v>
      </c>
      <c r="B315" s="2831" t="s">
        <v>2496</v>
      </c>
      <c r="C315" s="2831">
        <v>3052</v>
      </c>
      <c r="D315" s="2831" t="s">
        <v>2506</v>
      </c>
      <c r="E315" s="2831" t="s">
        <v>2166</v>
      </c>
    </row>
    <row r="316" spans="1:5">
      <c r="A316" s="2831">
        <v>623</v>
      </c>
      <c r="B316" s="2831" t="s">
        <v>2496</v>
      </c>
      <c r="C316" s="2831">
        <v>4052</v>
      </c>
      <c r="D316" s="2831" t="s">
        <v>2507</v>
      </c>
      <c r="E316" s="2831" t="s">
        <v>2169</v>
      </c>
    </row>
    <row r="317" spans="1:5">
      <c r="A317" s="2831">
        <v>623</v>
      </c>
      <c r="B317" s="2831" t="s">
        <v>2496</v>
      </c>
      <c r="C317" s="2831">
        <v>5052</v>
      </c>
      <c r="D317" s="2831" t="s">
        <v>2508</v>
      </c>
      <c r="E317" s="2831" t="s">
        <v>2166</v>
      </c>
    </row>
    <row r="318" spans="1:5">
      <c r="A318" s="2831">
        <v>623</v>
      </c>
      <c r="B318" s="2831" t="s">
        <v>2496</v>
      </c>
      <c r="C318" s="2831">
        <v>100</v>
      </c>
      <c r="D318" s="2831" t="s">
        <v>2509</v>
      </c>
      <c r="E318" s="2831" t="s">
        <v>2169</v>
      </c>
    </row>
    <row r="319" spans="1:5">
      <c r="A319" s="2831">
        <v>623</v>
      </c>
      <c r="B319" s="2831" t="s">
        <v>2496</v>
      </c>
      <c r="C319" s="2831">
        <v>185</v>
      </c>
      <c r="D319" s="2831" t="s">
        <v>2510</v>
      </c>
      <c r="E319" s="2831" t="s">
        <v>2166</v>
      </c>
    </row>
    <row r="320" spans="1:5">
      <c r="A320" s="2831">
        <v>623</v>
      </c>
      <c r="B320" s="2831" t="s">
        <v>2496</v>
      </c>
      <c r="C320" s="2831">
        <v>1054</v>
      </c>
      <c r="D320" s="2831" t="s">
        <v>2511</v>
      </c>
      <c r="E320" s="2831" t="s">
        <v>2166</v>
      </c>
    </row>
    <row r="321" spans="1:5">
      <c r="A321" s="2831">
        <v>623</v>
      </c>
      <c r="B321" s="2831" t="s">
        <v>2496</v>
      </c>
      <c r="C321" s="2831">
        <v>105</v>
      </c>
      <c r="D321" s="2831" t="s">
        <v>2512</v>
      </c>
      <c r="E321" s="2831" t="s">
        <v>2169</v>
      </c>
    </row>
    <row r="322" spans="1:5">
      <c r="A322" s="2831">
        <v>624</v>
      </c>
      <c r="B322" s="2831" t="s">
        <v>2513</v>
      </c>
      <c r="C322" s="2831">
        <v>112</v>
      </c>
      <c r="D322" s="2831" t="s">
        <v>2514</v>
      </c>
      <c r="E322" s="2831" t="s">
        <v>2174</v>
      </c>
    </row>
    <row r="323" spans="1:5">
      <c r="A323" s="2831">
        <v>624</v>
      </c>
      <c r="B323" s="2831" t="s">
        <v>2513</v>
      </c>
      <c r="C323" s="2831">
        <v>287</v>
      </c>
      <c r="D323" s="2831" t="s">
        <v>2515</v>
      </c>
      <c r="E323" s="2831" t="s">
        <v>2166</v>
      </c>
    </row>
    <row r="324" spans="1:5">
      <c r="A324" s="2831">
        <v>624</v>
      </c>
      <c r="B324" s="2831" t="s">
        <v>2513</v>
      </c>
      <c r="C324" s="2831">
        <v>199</v>
      </c>
      <c r="D324" s="2831" t="s">
        <v>2516</v>
      </c>
      <c r="E324" s="2831" t="s">
        <v>2166</v>
      </c>
    </row>
    <row r="325" spans="1:5">
      <c r="A325" s="2831">
        <v>624</v>
      </c>
      <c r="B325" s="2831" t="s">
        <v>2513</v>
      </c>
      <c r="C325" s="2831">
        <v>4050</v>
      </c>
      <c r="D325" s="2831" t="s">
        <v>2517</v>
      </c>
      <c r="E325" s="2831" t="s">
        <v>2174</v>
      </c>
    </row>
    <row r="326" spans="1:5">
      <c r="A326" s="2831">
        <v>626</v>
      </c>
      <c r="B326" s="2831" t="s">
        <v>2518</v>
      </c>
      <c r="C326" s="2831">
        <v>101</v>
      </c>
      <c r="D326" s="2831" t="s">
        <v>2519</v>
      </c>
      <c r="E326" s="2831" t="s">
        <v>2166</v>
      </c>
    </row>
    <row r="327" spans="1:5">
      <c r="A327" s="2831">
        <v>626</v>
      </c>
      <c r="B327" s="2831" t="s">
        <v>2518</v>
      </c>
      <c r="C327" s="2831">
        <v>206</v>
      </c>
      <c r="D327" s="2831" t="s">
        <v>2520</v>
      </c>
      <c r="E327" s="2831" t="s">
        <v>2166</v>
      </c>
    </row>
    <row r="328" spans="1:5">
      <c r="A328" s="2831">
        <v>626</v>
      </c>
      <c r="B328" s="2831" t="s">
        <v>2518</v>
      </c>
      <c r="C328" s="2831">
        <v>106</v>
      </c>
      <c r="D328" s="2831" t="s">
        <v>2521</v>
      </c>
      <c r="E328" s="2831" t="s">
        <v>2174</v>
      </c>
    </row>
    <row r="329" spans="1:5">
      <c r="A329" s="2831">
        <v>627</v>
      </c>
      <c r="B329" s="2831" t="s">
        <v>2522</v>
      </c>
      <c r="C329" s="2831">
        <v>1050</v>
      </c>
      <c r="D329" s="2831" t="s">
        <v>2523</v>
      </c>
      <c r="E329" s="2831" t="s">
        <v>2174</v>
      </c>
    </row>
    <row r="330" spans="1:5">
      <c r="A330" s="2831">
        <v>627</v>
      </c>
      <c r="B330" s="2831" t="s">
        <v>2522</v>
      </c>
      <c r="C330" s="2831">
        <v>106</v>
      </c>
      <c r="D330" s="2831" t="s">
        <v>2524</v>
      </c>
      <c r="E330" s="2831" t="s">
        <v>2169</v>
      </c>
    </row>
    <row r="331" spans="1:5">
      <c r="A331" s="2831">
        <v>627</v>
      </c>
      <c r="B331" s="2831" t="s">
        <v>2522</v>
      </c>
      <c r="C331" s="2831">
        <v>2050</v>
      </c>
      <c r="D331" s="2831" t="s">
        <v>2525</v>
      </c>
      <c r="E331" s="2831" t="s">
        <v>2169</v>
      </c>
    </row>
    <row r="332" spans="1:5">
      <c r="A332" s="2831">
        <v>627</v>
      </c>
      <c r="B332" s="2831" t="s">
        <v>2522</v>
      </c>
      <c r="C332" s="2831">
        <v>3050</v>
      </c>
      <c r="D332" s="2831" t="s">
        <v>2526</v>
      </c>
      <c r="E332" s="2831" t="s">
        <v>2166</v>
      </c>
    </row>
    <row r="333" spans="1:5">
      <c r="A333" s="2831">
        <v>627</v>
      </c>
      <c r="B333" s="2831" t="s">
        <v>2522</v>
      </c>
      <c r="C333" s="2831">
        <v>2052</v>
      </c>
      <c r="D333" s="2831" t="s">
        <v>2527</v>
      </c>
      <c r="E333" s="2831" t="s">
        <v>2169</v>
      </c>
    </row>
    <row r="334" spans="1:5">
      <c r="A334" s="2831">
        <v>628</v>
      </c>
      <c r="B334" s="2831" t="s">
        <v>2528</v>
      </c>
      <c r="C334" s="2831">
        <v>397</v>
      </c>
      <c r="D334" s="2831" t="s">
        <v>2529</v>
      </c>
      <c r="E334" s="2831" t="s">
        <v>2166</v>
      </c>
    </row>
    <row r="335" spans="1:5">
      <c r="A335" s="2831">
        <v>628</v>
      </c>
      <c r="B335" s="2831" t="s">
        <v>2528</v>
      </c>
      <c r="C335" s="2831">
        <v>108</v>
      </c>
      <c r="D335" s="2831" t="s">
        <v>2530</v>
      </c>
      <c r="E335" s="2831" t="s">
        <v>2174</v>
      </c>
    </row>
    <row r="336" spans="1:5">
      <c r="A336" s="2831">
        <v>628</v>
      </c>
      <c r="B336" s="2831" t="s">
        <v>2528</v>
      </c>
      <c r="C336" s="2831">
        <v>213</v>
      </c>
      <c r="D336" s="2831" t="s">
        <v>2531</v>
      </c>
      <c r="E336" s="2831" t="s">
        <v>2174</v>
      </c>
    </row>
    <row r="337" spans="1:5">
      <c r="A337" s="2831">
        <v>628</v>
      </c>
      <c r="B337" s="2831" t="s">
        <v>2528</v>
      </c>
      <c r="C337" s="2831">
        <v>196</v>
      </c>
      <c r="D337" s="2831" t="s">
        <v>2532</v>
      </c>
      <c r="E337" s="2831" t="s">
        <v>2166</v>
      </c>
    </row>
    <row r="338" spans="1:5">
      <c r="A338" s="2831">
        <v>628</v>
      </c>
      <c r="B338" s="2831" t="s">
        <v>2528</v>
      </c>
      <c r="C338" s="2831">
        <v>189</v>
      </c>
      <c r="D338" s="2831" t="s">
        <v>2533</v>
      </c>
      <c r="E338" s="2831" t="s">
        <v>2169</v>
      </c>
    </row>
    <row r="339" spans="1:5">
      <c r="A339" s="2831">
        <v>628</v>
      </c>
      <c r="B339" s="2831" t="s">
        <v>2528</v>
      </c>
      <c r="C339" s="2831">
        <v>101</v>
      </c>
      <c r="D339" s="2831" t="s">
        <v>2534</v>
      </c>
      <c r="E339" s="2831" t="s">
        <v>2166</v>
      </c>
    </row>
    <row r="340" spans="1:5">
      <c r="A340" s="2831">
        <v>628</v>
      </c>
      <c r="B340" s="2831" t="s">
        <v>2528</v>
      </c>
      <c r="C340" s="2831">
        <v>5050</v>
      </c>
      <c r="D340" s="2831" t="s">
        <v>2535</v>
      </c>
      <c r="E340" s="2831" t="s">
        <v>2169</v>
      </c>
    </row>
    <row r="341" spans="1:5">
      <c r="A341" s="2831">
        <v>628</v>
      </c>
      <c r="B341" s="2831" t="s">
        <v>2528</v>
      </c>
      <c r="C341" s="2831">
        <v>313</v>
      </c>
      <c r="D341" s="2831" t="s">
        <v>2536</v>
      </c>
      <c r="E341" s="2831" t="s">
        <v>2169</v>
      </c>
    </row>
    <row r="342" spans="1:5">
      <c r="A342" s="2831">
        <v>628</v>
      </c>
      <c r="B342" s="2831" t="s">
        <v>2528</v>
      </c>
      <c r="C342" s="2831">
        <v>1052</v>
      </c>
      <c r="D342" s="2831" t="s">
        <v>2537</v>
      </c>
      <c r="E342" s="2831" t="s">
        <v>2166</v>
      </c>
    </row>
    <row r="343" spans="1:5">
      <c r="A343" s="2831">
        <v>628</v>
      </c>
      <c r="B343" s="2831" t="s">
        <v>2528</v>
      </c>
      <c r="C343" s="2831">
        <v>305</v>
      </c>
      <c r="D343" s="2831" t="s">
        <v>2538</v>
      </c>
      <c r="E343" s="2831" t="s">
        <v>2169</v>
      </c>
    </row>
    <row r="344" spans="1:5">
      <c r="A344" s="2831">
        <v>628</v>
      </c>
      <c r="B344" s="2831" t="s">
        <v>2528</v>
      </c>
      <c r="C344" s="2831">
        <v>106</v>
      </c>
      <c r="D344" s="2831" t="s">
        <v>2539</v>
      </c>
      <c r="E344" s="2831" t="s">
        <v>2166</v>
      </c>
    </row>
    <row r="345" spans="1:5">
      <c r="A345" s="2831">
        <v>628</v>
      </c>
      <c r="B345" s="2831" t="s">
        <v>2528</v>
      </c>
      <c r="C345" s="2831">
        <v>187</v>
      </c>
      <c r="D345" s="2831" t="s">
        <v>2540</v>
      </c>
      <c r="E345" s="2831" t="s">
        <v>2166</v>
      </c>
    </row>
    <row r="346" spans="1:5">
      <c r="A346" s="2831">
        <v>628</v>
      </c>
      <c r="B346" s="2831" t="s">
        <v>2528</v>
      </c>
      <c r="C346" s="2831">
        <v>181</v>
      </c>
      <c r="D346" s="2831" t="s">
        <v>2541</v>
      </c>
      <c r="E346" s="2831" t="s">
        <v>2166</v>
      </c>
    </row>
    <row r="347" spans="1:5">
      <c r="A347" s="2831">
        <v>628</v>
      </c>
      <c r="B347" s="2831" t="s">
        <v>2528</v>
      </c>
      <c r="C347" s="2831">
        <v>176</v>
      </c>
      <c r="D347" s="2831" t="s">
        <v>2542</v>
      </c>
      <c r="E347" s="2831" t="s">
        <v>2174</v>
      </c>
    </row>
    <row r="348" spans="1:5">
      <c r="A348" s="2831">
        <v>628</v>
      </c>
      <c r="B348" s="2831" t="s">
        <v>2528</v>
      </c>
      <c r="C348" s="2831">
        <v>505</v>
      </c>
      <c r="D348" s="2831" t="s">
        <v>2543</v>
      </c>
      <c r="E348" s="2831" t="s">
        <v>2169</v>
      </c>
    </row>
    <row r="349" spans="1:5">
      <c r="A349" s="2831">
        <v>628</v>
      </c>
      <c r="B349" s="2831" t="s">
        <v>2528</v>
      </c>
      <c r="C349" s="2831">
        <v>205</v>
      </c>
      <c r="D349" s="2831" t="s">
        <v>2544</v>
      </c>
      <c r="E349" s="2831" t="s">
        <v>2166</v>
      </c>
    </row>
    <row r="350" spans="1:5">
      <c r="A350" s="2831">
        <v>628</v>
      </c>
      <c r="B350" s="2831" t="s">
        <v>2528</v>
      </c>
      <c r="C350" s="2831">
        <v>3052</v>
      </c>
      <c r="D350" s="2831" t="s">
        <v>2545</v>
      </c>
      <c r="E350" s="2831" t="s">
        <v>2166</v>
      </c>
    </row>
    <row r="351" spans="1:5">
      <c r="A351" s="2831">
        <v>628</v>
      </c>
      <c r="B351" s="2831" t="s">
        <v>2528</v>
      </c>
      <c r="C351" s="2831">
        <v>199</v>
      </c>
      <c r="D351" s="2831" t="s">
        <v>2546</v>
      </c>
      <c r="E351" s="2831" t="s">
        <v>2166</v>
      </c>
    </row>
    <row r="352" spans="1:5">
      <c r="A352" s="2831">
        <v>628</v>
      </c>
      <c r="B352" s="2831" t="s">
        <v>2528</v>
      </c>
      <c r="C352" s="2831">
        <v>116</v>
      </c>
      <c r="D352" s="2831" t="s">
        <v>2547</v>
      </c>
      <c r="E352" s="2831" t="s">
        <v>2169</v>
      </c>
    </row>
    <row r="353" spans="1:5">
      <c r="A353" s="2831">
        <v>628</v>
      </c>
      <c r="B353" s="2831" t="s">
        <v>2528</v>
      </c>
      <c r="C353" s="2831">
        <v>509</v>
      </c>
      <c r="D353" s="2831" t="s">
        <v>2548</v>
      </c>
      <c r="E353" s="2831" t="s">
        <v>2174</v>
      </c>
    </row>
    <row r="354" spans="1:5">
      <c r="A354" s="2831">
        <v>628</v>
      </c>
      <c r="B354" s="2831" t="s">
        <v>2528</v>
      </c>
      <c r="C354" s="2831">
        <v>182</v>
      </c>
      <c r="D354" s="2831" t="s">
        <v>2549</v>
      </c>
      <c r="E354" s="2831" t="s">
        <v>2166</v>
      </c>
    </row>
    <row r="355" spans="1:5">
      <c r="A355" s="2831">
        <v>628</v>
      </c>
      <c r="B355" s="2831" t="s">
        <v>2528</v>
      </c>
      <c r="C355" s="2831">
        <v>203</v>
      </c>
      <c r="D355" s="2831" t="s">
        <v>2550</v>
      </c>
      <c r="E355" s="2831" t="s">
        <v>2166</v>
      </c>
    </row>
    <row r="356" spans="1:5">
      <c r="A356" s="2831">
        <v>628</v>
      </c>
      <c r="B356" s="2831" t="s">
        <v>2528</v>
      </c>
      <c r="C356" s="2831">
        <v>309</v>
      </c>
      <c r="D356" s="2831" t="s">
        <v>2551</v>
      </c>
      <c r="E356" s="2831" t="s">
        <v>2166</v>
      </c>
    </row>
    <row r="357" spans="1:5">
      <c r="A357" s="2831">
        <v>628</v>
      </c>
      <c r="B357" s="2831" t="s">
        <v>2528</v>
      </c>
      <c r="C357" s="2831">
        <v>5052</v>
      </c>
      <c r="D357" s="2831" t="s">
        <v>2552</v>
      </c>
      <c r="E357" s="2831" t="s">
        <v>2166</v>
      </c>
    </row>
    <row r="358" spans="1:5">
      <c r="A358" s="2831">
        <v>628</v>
      </c>
      <c r="B358" s="2831" t="s">
        <v>2528</v>
      </c>
      <c r="C358" s="2831">
        <v>113</v>
      </c>
      <c r="D358" s="2831" t="s">
        <v>2553</v>
      </c>
      <c r="E358" s="2831" t="s">
        <v>2166</v>
      </c>
    </row>
    <row r="359" spans="1:5">
      <c r="A359" s="2831">
        <v>628</v>
      </c>
      <c r="B359" s="2831" t="s">
        <v>2528</v>
      </c>
      <c r="C359" s="2831">
        <v>190</v>
      </c>
      <c r="D359" s="2831" t="s">
        <v>2554</v>
      </c>
      <c r="E359" s="2831" t="s">
        <v>2169</v>
      </c>
    </row>
    <row r="360" spans="1:5">
      <c r="A360" s="2831">
        <v>628</v>
      </c>
      <c r="B360" s="2831" t="s">
        <v>2528</v>
      </c>
      <c r="C360" s="2831">
        <v>2054</v>
      </c>
      <c r="D360" s="2831" t="s">
        <v>2555</v>
      </c>
      <c r="E360" s="2831" t="s">
        <v>2166</v>
      </c>
    </row>
    <row r="361" spans="1:5">
      <c r="A361" s="2831">
        <v>628</v>
      </c>
      <c r="B361" s="2831" t="s">
        <v>2528</v>
      </c>
      <c r="C361" s="2831">
        <v>198</v>
      </c>
      <c r="D361" s="2831" t="s">
        <v>2556</v>
      </c>
      <c r="E361" s="2831" t="s">
        <v>2174</v>
      </c>
    </row>
    <row r="362" spans="1:5">
      <c r="A362" s="2831">
        <v>628</v>
      </c>
      <c r="B362" s="2831" t="s">
        <v>2528</v>
      </c>
      <c r="C362" s="2831">
        <v>115</v>
      </c>
      <c r="D362" s="2831" t="s">
        <v>2557</v>
      </c>
      <c r="E362" s="2831" t="s">
        <v>2174</v>
      </c>
    </row>
    <row r="363" spans="1:5">
      <c r="A363" s="2831">
        <v>628</v>
      </c>
      <c r="B363" s="2831" t="s">
        <v>2528</v>
      </c>
      <c r="C363" s="2831">
        <v>191</v>
      </c>
      <c r="D363" s="2831" t="s">
        <v>2558</v>
      </c>
      <c r="E363" s="2831" t="s">
        <v>2174</v>
      </c>
    </row>
    <row r="364" spans="1:5">
      <c r="A364" s="2831">
        <v>628</v>
      </c>
      <c r="B364" s="2831" t="s">
        <v>2528</v>
      </c>
      <c r="C364" s="2831">
        <v>193</v>
      </c>
      <c r="D364" s="2831" t="s">
        <v>2559</v>
      </c>
      <c r="E364" s="2831" t="s">
        <v>2169</v>
      </c>
    </row>
    <row r="365" spans="1:5">
      <c r="A365" s="2831">
        <v>628</v>
      </c>
      <c r="B365" s="2831" t="s">
        <v>2528</v>
      </c>
      <c r="C365" s="2831">
        <v>287</v>
      </c>
      <c r="D365" s="2831" t="s">
        <v>2560</v>
      </c>
      <c r="E365" s="2831" t="s">
        <v>2166</v>
      </c>
    </row>
    <row r="366" spans="1:5">
      <c r="A366" s="2831">
        <v>628</v>
      </c>
      <c r="B366" s="2831" t="s">
        <v>2528</v>
      </c>
      <c r="C366" s="2831">
        <v>105</v>
      </c>
      <c r="D366" s="2831" t="s">
        <v>2561</v>
      </c>
      <c r="E366" s="2831" t="s">
        <v>2174</v>
      </c>
    </row>
    <row r="367" spans="1:5">
      <c r="A367" s="2831">
        <v>628</v>
      </c>
      <c r="B367" s="2831" t="s">
        <v>2528</v>
      </c>
      <c r="C367" s="2831">
        <v>104</v>
      </c>
      <c r="D367" s="2831" t="s">
        <v>2562</v>
      </c>
      <c r="E367" s="2831" t="s">
        <v>2166</v>
      </c>
    </row>
    <row r="368" spans="1:5">
      <c r="A368" s="2831">
        <v>628</v>
      </c>
      <c r="B368" s="2831" t="s">
        <v>2528</v>
      </c>
      <c r="C368" s="2831">
        <v>197</v>
      </c>
      <c r="D368" s="2831" t="s">
        <v>2563</v>
      </c>
      <c r="E368" s="2831" t="s">
        <v>2174</v>
      </c>
    </row>
    <row r="369" spans="1:5">
      <c r="A369" s="2831">
        <v>628</v>
      </c>
      <c r="B369" s="2831" t="s">
        <v>2528</v>
      </c>
      <c r="C369" s="2831">
        <v>297</v>
      </c>
      <c r="D369" s="2831" t="s">
        <v>2564</v>
      </c>
      <c r="E369" s="2831" t="s">
        <v>2169</v>
      </c>
    </row>
    <row r="370" spans="1:5">
      <c r="A370" s="2831">
        <v>628</v>
      </c>
      <c r="B370" s="2831" t="s">
        <v>2528</v>
      </c>
      <c r="C370" s="2831">
        <v>606</v>
      </c>
      <c r="D370" s="2831" t="s">
        <v>2565</v>
      </c>
      <c r="E370" s="2831" t="s">
        <v>2169</v>
      </c>
    </row>
    <row r="371" spans="1:5">
      <c r="A371" s="2831">
        <v>769</v>
      </c>
      <c r="B371" s="2831" t="s">
        <v>2566</v>
      </c>
      <c r="C371" s="2831">
        <v>1050</v>
      </c>
      <c r="D371" s="2831" t="s">
        <v>2567</v>
      </c>
      <c r="E371" s="2831" t="s">
        <v>2169</v>
      </c>
    </row>
    <row r="372" spans="1:5">
      <c r="A372" s="2831">
        <v>769</v>
      </c>
      <c r="B372" s="2831" t="s">
        <v>2566</v>
      </c>
      <c r="C372" s="2831">
        <v>211</v>
      </c>
      <c r="D372" s="2831" t="s">
        <v>2568</v>
      </c>
      <c r="E372" s="2831" t="s">
        <v>2169</v>
      </c>
    </row>
    <row r="373" spans="1:5">
      <c r="A373" s="2831">
        <v>769</v>
      </c>
      <c r="B373" s="2831" t="s">
        <v>2566</v>
      </c>
      <c r="C373" s="2831">
        <v>111</v>
      </c>
      <c r="D373" s="2831" t="s">
        <v>2569</v>
      </c>
      <c r="E373" s="2831" t="s">
        <v>2166</v>
      </c>
    </row>
    <row r="374" spans="1:5">
      <c r="A374" s="2831">
        <v>773</v>
      </c>
      <c r="B374" s="2831" t="s">
        <v>2570</v>
      </c>
      <c r="C374" s="2831">
        <v>1552</v>
      </c>
      <c r="D374" s="2831" t="s">
        <v>2571</v>
      </c>
      <c r="E374" s="2831" t="s">
        <v>2166</v>
      </c>
    </row>
    <row r="375" spans="1:5">
      <c r="A375" s="2831">
        <v>773</v>
      </c>
      <c r="B375" s="2831" t="s">
        <v>2570</v>
      </c>
      <c r="C375" s="2831">
        <v>505</v>
      </c>
      <c r="D375" s="2831" t="s">
        <v>2572</v>
      </c>
      <c r="E375" s="2831" t="s">
        <v>2166</v>
      </c>
    </row>
    <row r="376" spans="1:5">
      <c r="A376" s="2831">
        <v>773</v>
      </c>
      <c r="B376" s="2831" t="s">
        <v>2570</v>
      </c>
      <c r="C376" s="2831">
        <v>3050</v>
      </c>
      <c r="D376" s="2831" t="s">
        <v>2573</v>
      </c>
      <c r="E376" s="2831" t="s">
        <v>2166</v>
      </c>
    </row>
    <row r="377" spans="1:5">
      <c r="A377" s="2831">
        <v>773</v>
      </c>
      <c r="B377" s="2831" t="s">
        <v>2570</v>
      </c>
      <c r="C377" s="2831">
        <v>112</v>
      </c>
      <c r="D377" s="2831" t="s">
        <v>2574</v>
      </c>
      <c r="E377" s="2831" t="s">
        <v>2166</v>
      </c>
    </row>
    <row r="378" spans="1:5">
      <c r="A378" s="2831">
        <v>773</v>
      </c>
      <c r="B378" s="2831" t="s">
        <v>2570</v>
      </c>
      <c r="C378" s="2831">
        <v>212</v>
      </c>
      <c r="D378" s="2831" t="s">
        <v>2575</v>
      </c>
      <c r="E378" s="2831" t="s">
        <v>2174</v>
      </c>
    </row>
    <row r="379" spans="1:5">
      <c r="A379" s="2831">
        <v>773</v>
      </c>
      <c r="B379" s="2831" t="s">
        <v>2570</v>
      </c>
      <c r="C379" s="2831">
        <v>105</v>
      </c>
      <c r="D379" s="2831" t="s">
        <v>2576</v>
      </c>
      <c r="E379" s="2831" t="s">
        <v>2169</v>
      </c>
    </row>
    <row r="380" spans="1:5">
      <c r="A380" s="2831">
        <v>773</v>
      </c>
      <c r="B380" s="2831" t="s">
        <v>2570</v>
      </c>
      <c r="C380" s="2831">
        <v>506</v>
      </c>
      <c r="D380" s="2831" t="s">
        <v>2577</v>
      </c>
      <c r="E380" s="2831" t="s">
        <v>2174</v>
      </c>
    </row>
    <row r="381" spans="1:5">
      <c r="A381" s="2831">
        <v>773</v>
      </c>
      <c r="B381" s="2831" t="s">
        <v>2570</v>
      </c>
      <c r="C381" s="2831">
        <v>115</v>
      </c>
      <c r="D381" s="2831" t="s">
        <v>2578</v>
      </c>
      <c r="E381" s="2831" t="s">
        <v>2166</v>
      </c>
    </row>
    <row r="382" spans="1:5">
      <c r="A382" s="2831">
        <v>773</v>
      </c>
      <c r="B382" s="2831" t="s">
        <v>2570</v>
      </c>
      <c r="C382" s="2831">
        <v>405</v>
      </c>
      <c r="D382" s="2831" t="s">
        <v>2579</v>
      </c>
      <c r="E382" s="2831" t="s">
        <v>2166</v>
      </c>
    </row>
    <row r="383" spans="1:5">
      <c r="A383" s="2831">
        <v>629</v>
      </c>
      <c r="B383" s="2831" t="s">
        <v>2580</v>
      </c>
      <c r="C383" s="2831">
        <v>2056</v>
      </c>
      <c r="D383" s="2831" t="s">
        <v>2581</v>
      </c>
      <c r="E383" s="2831" t="s">
        <v>2166</v>
      </c>
    </row>
    <row r="384" spans="1:5">
      <c r="A384" s="2831">
        <v>629</v>
      </c>
      <c r="B384" s="2831" t="s">
        <v>2580</v>
      </c>
      <c r="C384" s="2831">
        <v>3056</v>
      </c>
      <c r="D384" s="2831" t="s">
        <v>2582</v>
      </c>
      <c r="E384" s="2831" t="s">
        <v>2166</v>
      </c>
    </row>
    <row r="385" spans="1:5">
      <c r="A385" s="2831">
        <v>629</v>
      </c>
      <c r="B385" s="2831" t="s">
        <v>2580</v>
      </c>
      <c r="C385" s="2831">
        <v>105</v>
      </c>
      <c r="D385" s="2831" t="s">
        <v>2583</v>
      </c>
      <c r="E385" s="2831" t="s">
        <v>2169</v>
      </c>
    </row>
    <row r="386" spans="1:5">
      <c r="A386" s="2831">
        <v>629</v>
      </c>
      <c r="B386" s="2831" t="s">
        <v>2580</v>
      </c>
      <c r="C386" s="2831">
        <v>296</v>
      </c>
      <c r="D386" s="2831" t="s">
        <v>2584</v>
      </c>
      <c r="E386" s="2831" t="s">
        <v>2166</v>
      </c>
    </row>
    <row r="387" spans="1:5">
      <c r="A387" s="2831">
        <v>629</v>
      </c>
      <c r="B387" s="2831" t="s">
        <v>2580</v>
      </c>
      <c r="C387" s="2831">
        <v>102</v>
      </c>
      <c r="D387" s="2831" t="s">
        <v>2585</v>
      </c>
      <c r="E387" s="2831" t="s">
        <v>2169</v>
      </c>
    </row>
    <row r="388" spans="1:5">
      <c r="A388" s="2831">
        <v>629</v>
      </c>
      <c r="B388" s="2831" t="s">
        <v>2580</v>
      </c>
      <c r="C388" s="2831">
        <v>5556</v>
      </c>
      <c r="D388" s="2831" t="s">
        <v>2586</v>
      </c>
      <c r="E388" s="2831" t="s">
        <v>2166</v>
      </c>
    </row>
    <row r="389" spans="1:5">
      <c r="A389" s="2831">
        <v>629</v>
      </c>
      <c r="B389" s="2831" t="s">
        <v>2580</v>
      </c>
      <c r="C389" s="2831">
        <v>1058</v>
      </c>
      <c r="D389" s="2831" t="s">
        <v>2587</v>
      </c>
      <c r="E389" s="2831" t="s">
        <v>2174</v>
      </c>
    </row>
    <row r="390" spans="1:5">
      <c r="A390" s="2831">
        <v>629</v>
      </c>
      <c r="B390" s="2831" t="s">
        <v>2580</v>
      </c>
      <c r="C390" s="2831">
        <v>104</v>
      </c>
      <c r="D390" s="2831" t="s">
        <v>2588</v>
      </c>
      <c r="E390" s="2831" t="s">
        <v>2169</v>
      </c>
    </row>
    <row r="391" spans="1:5">
      <c r="A391" s="2831">
        <v>629</v>
      </c>
      <c r="B391" s="2831" t="s">
        <v>2580</v>
      </c>
      <c r="C391" s="2831">
        <v>191</v>
      </c>
      <c r="D391" s="2831" t="s">
        <v>2589</v>
      </c>
      <c r="E391" s="2831" t="s">
        <v>2166</v>
      </c>
    </row>
    <row r="392" spans="1:5">
      <c r="A392" s="2831">
        <v>629</v>
      </c>
      <c r="B392" s="2831" t="s">
        <v>2580</v>
      </c>
      <c r="C392" s="2831">
        <v>196</v>
      </c>
      <c r="D392" s="2831" t="s">
        <v>2590</v>
      </c>
      <c r="E392" s="2831" t="s">
        <v>2169</v>
      </c>
    </row>
    <row r="393" spans="1:5">
      <c r="A393" s="2831">
        <v>629</v>
      </c>
      <c r="B393" s="2831" t="s">
        <v>2580</v>
      </c>
      <c r="C393" s="2831">
        <v>3058</v>
      </c>
      <c r="D393" s="2831" t="s">
        <v>2591</v>
      </c>
      <c r="E393" s="2831" t="s">
        <v>2166</v>
      </c>
    </row>
    <row r="394" spans="1:5">
      <c r="A394" s="2831">
        <v>629</v>
      </c>
      <c r="B394" s="2831" t="s">
        <v>2580</v>
      </c>
      <c r="C394" s="2831">
        <v>205</v>
      </c>
      <c r="D394" s="2831" t="s">
        <v>2592</v>
      </c>
      <c r="E394" s="2831" t="s">
        <v>2166</v>
      </c>
    </row>
    <row r="395" spans="1:5">
      <c r="A395" s="2831">
        <v>629</v>
      </c>
      <c r="B395" s="2831" t="s">
        <v>2580</v>
      </c>
      <c r="C395" s="2831">
        <v>5058</v>
      </c>
      <c r="D395" s="2831" t="s">
        <v>2593</v>
      </c>
      <c r="E395" s="2831" t="s">
        <v>2169</v>
      </c>
    </row>
    <row r="396" spans="1:5">
      <c r="A396" s="2831">
        <v>629</v>
      </c>
      <c r="B396" s="2831" t="s">
        <v>2580</v>
      </c>
      <c r="C396" s="2831">
        <v>291</v>
      </c>
      <c r="D396" s="2831" t="s">
        <v>2594</v>
      </c>
      <c r="E396" s="2831" t="s">
        <v>2169</v>
      </c>
    </row>
    <row r="397" spans="1:5">
      <c r="A397" s="2831">
        <v>629</v>
      </c>
      <c r="B397" s="2831" t="s">
        <v>2580</v>
      </c>
      <c r="C397" s="2831">
        <v>5056</v>
      </c>
      <c r="D397" s="2831" t="s">
        <v>2595</v>
      </c>
      <c r="E397" s="2831" t="s">
        <v>2166</v>
      </c>
    </row>
    <row r="398" spans="1:5">
      <c r="A398" s="2831">
        <v>629</v>
      </c>
      <c r="B398" s="2831" t="s">
        <v>2580</v>
      </c>
      <c r="C398" s="2831">
        <v>112</v>
      </c>
      <c r="D398" s="2831" t="s">
        <v>2596</v>
      </c>
      <c r="E398" s="2831" t="s">
        <v>2174</v>
      </c>
    </row>
    <row r="399" spans="1:5">
      <c r="A399" s="2831">
        <v>629</v>
      </c>
      <c r="B399" s="2831" t="s">
        <v>2580</v>
      </c>
      <c r="C399" s="2831">
        <v>4060</v>
      </c>
      <c r="D399" s="2831" t="s">
        <v>2597</v>
      </c>
      <c r="E399" s="2831" t="s">
        <v>2169</v>
      </c>
    </row>
    <row r="400" spans="1:5">
      <c r="A400" s="2831">
        <v>629</v>
      </c>
      <c r="B400" s="2831" t="s">
        <v>2580</v>
      </c>
      <c r="C400" s="2831">
        <v>178</v>
      </c>
      <c r="D400" s="2831" t="s">
        <v>2598</v>
      </c>
      <c r="E400" s="2831" t="s">
        <v>2166</v>
      </c>
    </row>
    <row r="401" spans="1:5">
      <c r="A401" s="2831">
        <v>629</v>
      </c>
      <c r="B401" s="2831" t="s">
        <v>2580</v>
      </c>
      <c r="C401" s="2831">
        <v>391</v>
      </c>
      <c r="D401" s="2831" t="s">
        <v>2599</v>
      </c>
      <c r="E401" s="2831" t="s">
        <v>2169</v>
      </c>
    </row>
    <row r="402" spans="1:5">
      <c r="A402" s="2831">
        <v>629</v>
      </c>
      <c r="B402" s="2831" t="s">
        <v>2580</v>
      </c>
      <c r="C402" s="2831">
        <v>1062</v>
      </c>
      <c r="D402" s="2831" t="s">
        <v>2600</v>
      </c>
      <c r="E402" s="2831" t="s">
        <v>2166</v>
      </c>
    </row>
    <row r="403" spans="1:5">
      <c r="A403" s="2831">
        <v>629</v>
      </c>
      <c r="B403" s="2831" t="s">
        <v>2580</v>
      </c>
      <c r="C403" s="2831">
        <v>2062</v>
      </c>
      <c r="D403" s="2831" t="s">
        <v>2601</v>
      </c>
      <c r="E403" s="2831" t="s">
        <v>2166</v>
      </c>
    </row>
    <row r="404" spans="1:5">
      <c r="A404" s="2831">
        <v>630</v>
      </c>
      <c r="B404" s="2831" t="s">
        <v>2602</v>
      </c>
      <c r="C404" s="2831">
        <v>204</v>
      </c>
      <c r="D404" s="2831" t="s">
        <v>2603</v>
      </c>
      <c r="E404" s="2831" t="s">
        <v>2174</v>
      </c>
    </row>
    <row r="405" spans="1:5">
      <c r="A405" s="2831">
        <v>630</v>
      </c>
      <c r="B405" s="2831" t="s">
        <v>2602</v>
      </c>
      <c r="C405" s="2831">
        <v>104</v>
      </c>
      <c r="D405" s="2831" t="s">
        <v>2604</v>
      </c>
      <c r="E405" s="2831" t="s">
        <v>2174</v>
      </c>
    </row>
    <row r="406" spans="1:5">
      <c r="A406" s="2831">
        <v>631</v>
      </c>
      <c r="B406" s="2831" t="s">
        <v>2605</v>
      </c>
      <c r="C406" s="2831">
        <v>381</v>
      </c>
      <c r="D406" s="2831" t="s">
        <v>2606</v>
      </c>
      <c r="E406" s="2831" t="s">
        <v>2169</v>
      </c>
    </row>
    <row r="407" spans="1:5">
      <c r="A407" s="2831">
        <v>631</v>
      </c>
      <c r="B407" s="2831" t="s">
        <v>2605</v>
      </c>
      <c r="C407" s="2831">
        <v>177</v>
      </c>
      <c r="D407" s="2831" t="s">
        <v>2607</v>
      </c>
      <c r="E407" s="2831" t="s">
        <v>2174</v>
      </c>
    </row>
    <row r="408" spans="1:5">
      <c r="A408" s="2831">
        <v>631</v>
      </c>
      <c r="B408" s="2831" t="s">
        <v>2605</v>
      </c>
      <c r="C408" s="2831">
        <v>1050</v>
      </c>
      <c r="D408" s="2831" t="s">
        <v>2608</v>
      </c>
      <c r="E408" s="2831" t="s">
        <v>2166</v>
      </c>
    </row>
    <row r="409" spans="1:5">
      <c r="A409" s="2831">
        <v>631</v>
      </c>
      <c r="B409" s="2831" t="s">
        <v>2605</v>
      </c>
      <c r="C409" s="2831">
        <v>1550</v>
      </c>
      <c r="D409" s="2831" t="s">
        <v>2609</v>
      </c>
      <c r="E409" s="2831" t="s">
        <v>2166</v>
      </c>
    </row>
    <row r="410" spans="1:5">
      <c r="A410" s="2831">
        <v>631</v>
      </c>
      <c r="B410" s="2831" t="s">
        <v>2605</v>
      </c>
      <c r="C410" s="2831">
        <v>3050</v>
      </c>
      <c r="D410" s="2831" t="s">
        <v>2610</v>
      </c>
      <c r="E410" s="2831" t="s">
        <v>2174</v>
      </c>
    </row>
    <row r="411" spans="1:5">
      <c r="A411" s="2831">
        <v>631</v>
      </c>
      <c r="B411" s="2831" t="s">
        <v>2605</v>
      </c>
      <c r="C411" s="2831">
        <v>175</v>
      </c>
      <c r="D411" s="2831" t="s">
        <v>2611</v>
      </c>
      <c r="E411" s="2831" t="s">
        <v>2174</v>
      </c>
    </row>
    <row r="412" spans="1:5">
      <c r="A412" s="2831">
        <v>631</v>
      </c>
      <c r="B412" s="2831" t="s">
        <v>2605</v>
      </c>
      <c r="C412" s="2831">
        <v>103</v>
      </c>
      <c r="D412" s="2831" t="s">
        <v>2612</v>
      </c>
      <c r="E412" s="2831" t="s">
        <v>2174</v>
      </c>
    </row>
    <row r="413" spans="1:5">
      <c r="A413" s="2831">
        <v>631</v>
      </c>
      <c r="B413" s="2831" t="s">
        <v>2605</v>
      </c>
      <c r="C413" s="2831">
        <v>115</v>
      </c>
      <c r="D413" s="2831" t="s">
        <v>2613</v>
      </c>
      <c r="E413" s="2831" t="s">
        <v>2174</v>
      </c>
    </row>
    <row r="414" spans="1:5">
      <c r="A414" s="2831">
        <v>631</v>
      </c>
      <c r="B414" s="2831" t="s">
        <v>2605</v>
      </c>
      <c r="C414" s="2831">
        <v>4050</v>
      </c>
      <c r="D414" s="2831" t="s">
        <v>2614</v>
      </c>
      <c r="E414" s="2831" t="s">
        <v>2174</v>
      </c>
    </row>
    <row r="415" spans="1:5">
      <c r="A415" s="2831">
        <v>631</v>
      </c>
      <c r="B415" s="2831" t="s">
        <v>2605</v>
      </c>
      <c r="C415" s="2831">
        <v>1052</v>
      </c>
      <c r="D415" s="2831" t="s">
        <v>2615</v>
      </c>
      <c r="E415" s="2831" t="s">
        <v>2169</v>
      </c>
    </row>
    <row r="416" spans="1:5">
      <c r="A416" s="2831">
        <v>631</v>
      </c>
      <c r="B416" s="2831" t="s">
        <v>2605</v>
      </c>
      <c r="C416" s="2831">
        <v>116</v>
      </c>
      <c r="D416" s="2831" t="s">
        <v>2616</v>
      </c>
      <c r="E416" s="2831" t="s">
        <v>2174</v>
      </c>
    </row>
    <row r="417" spans="1:5">
      <c r="A417" s="2831">
        <v>631</v>
      </c>
      <c r="B417" s="2831" t="s">
        <v>2605</v>
      </c>
      <c r="C417" s="2831">
        <v>5052</v>
      </c>
      <c r="D417" s="2831" t="s">
        <v>2617</v>
      </c>
      <c r="E417" s="2831" t="s">
        <v>2174</v>
      </c>
    </row>
    <row r="418" spans="1:5">
      <c r="A418" s="2831">
        <v>631</v>
      </c>
      <c r="B418" s="2831" t="s">
        <v>2605</v>
      </c>
      <c r="C418" s="2831">
        <v>114</v>
      </c>
      <c r="D418" s="2831" t="s">
        <v>2618</v>
      </c>
      <c r="E418" s="2831" t="s">
        <v>2174</v>
      </c>
    </row>
    <row r="419" spans="1:5">
      <c r="A419" s="2831">
        <v>631</v>
      </c>
      <c r="B419" s="2831" t="s">
        <v>2605</v>
      </c>
      <c r="C419" s="2831">
        <v>1054</v>
      </c>
      <c r="D419" s="2831" t="s">
        <v>2619</v>
      </c>
      <c r="E419" s="2831" t="s">
        <v>2166</v>
      </c>
    </row>
    <row r="420" spans="1:5">
      <c r="A420" s="2831">
        <v>631</v>
      </c>
      <c r="B420" s="2831" t="s">
        <v>2605</v>
      </c>
      <c r="C420" s="2831">
        <v>2054</v>
      </c>
      <c r="D420" s="2831" t="s">
        <v>2620</v>
      </c>
      <c r="E420" s="2831" t="s">
        <v>2166</v>
      </c>
    </row>
    <row r="421" spans="1:5">
      <c r="A421" s="2831">
        <v>631</v>
      </c>
      <c r="B421" s="2831" t="s">
        <v>2605</v>
      </c>
      <c r="C421" s="2831">
        <v>2554</v>
      </c>
      <c r="D421" s="2831" t="s">
        <v>2621</v>
      </c>
      <c r="E421" s="2831" t="s">
        <v>2174</v>
      </c>
    </row>
    <row r="422" spans="1:5">
      <c r="A422" s="2831">
        <v>631</v>
      </c>
      <c r="B422" s="2831" t="s">
        <v>2605</v>
      </c>
      <c r="C422" s="2831">
        <v>203</v>
      </c>
      <c r="D422" s="2831" t="s">
        <v>2622</v>
      </c>
      <c r="E422" s="2831" t="s">
        <v>2169</v>
      </c>
    </row>
    <row r="423" spans="1:5">
      <c r="A423" s="2831">
        <v>631</v>
      </c>
      <c r="B423" s="2831" t="s">
        <v>2605</v>
      </c>
      <c r="C423" s="2831">
        <v>199</v>
      </c>
      <c r="D423" s="2831" t="s">
        <v>2623</v>
      </c>
      <c r="E423" s="2831" t="s">
        <v>2174</v>
      </c>
    </row>
    <row r="424" spans="1:5">
      <c r="A424" s="2831">
        <v>631</v>
      </c>
      <c r="B424" s="2831" t="s">
        <v>2605</v>
      </c>
      <c r="C424" s="2831">
        <v>3054</v>
      </c>
      <c r="D424" s="2831" t="s">
        <v>2624</v>
      </c>
      <c r="E424" s="2831" t="s">
        <v>2166</v>
      </c>
    </row>
    <row r="425" spans="1:5">
      <c r="A425" s="2831">
        <v>631</v>
      </c>
      <c r="B425" s="2831" t="s">
        <v>2605</v>
      </c>
      <c r="C425" s="2831">
        <v>5054</v>
      </c>
      <c r="D425" s="2831" t="s">
        <v>2625</v>
      </c>
      <c r="E425" s="2831" t="s">
        <v>2169</v>
      </c>
    </row>
    <row r="426" spans="1:5">
      <c r="A426" s="2831">
        <v>631</v>
      </c>
      <c r="B426" s="2831" t="s">
        <v>2605</v>
      </c>
      <c r="C426" s="2831">
        <v>304</v>
      </c>
      <c r="D426" s="2831" t="s">
        <v>2626</v>
      </c>
      <c r="E426" s="2831" t="s">
        <v>2169</v>
      </c>
    </row>
    <row r="427" spans="1:5">
      <c r="A427" s="2831">
        <v>631</v>
      </c>
      <c r="B427" s="2831" t="s">
        <v>2605</v>
      </c>
      <c r="C427" s="2831">
        <v>1056</v>
      </c>
      <c r="D427" s="2831" t="s">
        <v>2627</v>
      </c>
      <c r="E427" s="2831" t="s">
        <v>2174</v>
      </c>
    </row>
    <row r="428" spans="1:5">
      <c r="A428" s="2831">
        <v>631</v>
      </c>
      <c r="B428" s="2831" t="s">
        <v>2605</v>
      </c>
      <c r="C428" s="2831">
        <v>106</v>
      </c>
      <c r="D428" s="2831" t="s">
        <v>2628</v>
      </c>
      <c r="E428" s="2831" t="s">
        <v>2174</v>
      </c>
    </row>
    <row r="429" spans="1:5">
      <c r="A429" s="2831">
        <v>631</v>
      </c>
      <c r="B429" s="2831" t="s">
        <v>2605</v>
      </c>
      <c r="C429" s="2831">
        <v>380</v>
      </c>
      <c r="D429" s="2831" t="s">
        <v>2629</v>
      </c>
      <c r="E429" s="2831" t="s">
        <v>2169</v>
      </c>
    </row>
    <row r="430" spans="1:5">
      <c r="A430" s="2831">
        <v>631</v>
      </c>
      <c r="B430" s="2831" t="s">
        <v>2605</v>
      </c>
      <c r="C430" s="2831">
        <v>305</v>
      </c>
      <c r="D430" s="2831" t="s">
        <v>2630</v>
      </c>
      <c r="E430" s="2831" t="s">
        <v>2174</v>
      </c>
    </row>
    <row r="431" spans="1:5">
      <c r="A431" s="2831">
        <v>631</v>
      </c>
      <c r="B431" s="2831" t="s">
        <v>2605</v>
      </c>
      <c r="C431" s="2831">
        <v>205</v>
      </c>
      <c r="D431" s="2831" t="s">
        <v>2631</v>
      </c>
      <c r="E431" s="2831" t="s">
        <v>2174</v>
      </c>
    </row>
    <row r="432" spans="1:5">
      <c r="A432" s="2831">
        <v>631</v>
      </c>
      <c r="B432" s="2831" t="s">
        <v>2605</v>
      </c>
      <c r="C432" s="2831">
        <v>197</v>
      </c>
      <c r="D432" s="2831" t="s">
        <v>2632</v>
      </c>
      <c r="E432" s="2831" t="s">
        <v>2166</v>
      </c>
    </row>
    <row r="433" spans="1:5">
      <c r="A433" s="2831">
        <v>631</v>
      </c>
      <c r="B433" s="2831" t="s">
        <v>2605</v>
      </c>
      <c r="C433" s="2831">
        <v>173</v>
      </c>
      <c r="D433" s="2831" t="s">
        <v>2633</v>
      </c>
      <c r="E433" s="2831" t="s">
        <v>2174</v>
      </c>
    </row>
    <row r="434" spans="1:5">
      <c r="A434" s="2831">
        <v>631</v>
      </c>
      <c r="B434" s="2831" t="s">
        <v>2605</v>
      </c>
      <c r="C434" s="2831">
        <v>4056</v>
      </c>
      <c r="D434" s="2831" t="s">
        <v>2634</v>
      </c>
      <c r="E434" s="2831" t="s">
        <v>2169</v>
      </c>
    </row>
    <row r="435" spans="1:5">
      <c r="A435" s="2831">
        <v>631</v>
      </c>
      <c r="B435" s="2831" t="s">
        <v>2605</v>
      </c>
      <c r="C435" s="2831">
        <v>295</v>
      </c>
      <c r="D435" s="2831" t="s">
        <v>2635</v>
      </c>
      <c r="E435" s="2831" t="s">
        <v>2166</v>
      </c>
    </row>
    <row r="436" spans="1:5">
      <c r="A436" s="2831">
        <v>631</v>
      </c>
      <c r="B436" s="2831" t="s">
        <v>2605</v>
      </c>
      <c r="C436" s="2831">
        <v>1058</v>
      </c>
      <c r="D436" s="2831" t="s">
        <v>2636</v>
      </c>
      <c r="E436" s="2831" t="s">
        <v>2169</v>
      </c>
    </row>
    <row r="437" spans="1:5">
      <c r="A437" s="2831">
        <v>631</v>
      </c>
      <c r="B437" s="2831" t="s">
        <v>2605</v>
      </c>
      <c r="C437" s="2831">
        <v>190</v>
      </c>
      <c r="D437" s="2831" t="s">
        <v>2637</v>
      </c>
      <c r="E437" s="2831" t="s">
        <v>2174</v>
      </c>
    </row>
    <row r="438" spans="1:5">
      <c r="A438" s="2831">
        <v>631</v>
      </c>
      <c r="B438" s="2831" t="s">
        <v>2605</v>
      </c>
      <c r="C438" s="2831">
        <v>100</v>
      </c>
      <c r="D438" s="2831" t="s">
        <v>2638</v>
      </c>
      <c r="E438" s="2831" t="s">
        <v>2169</v>
      </c>
    </row>
    <row r="439" spans="1:5">
      <c r="A439" s="2831">
        <v>631</v>
      </c>
      <c r="B439" s="2831" t="s">
        <v>2605</v>
      </c>
      <c r="C439" s="2831">
        <v>215</v>
      </c>
      <c r="D439" s="2831" t="s">
        <v>2639</v>
      </c>
      <c r="E439" s="2831" t="s">
        <v>2174</v>
      </c>
    </row>
    <row r="440" spans="1:5">
      <c r="A440" s="2831">
        <v>631</v>
      </c>
      <c r="B440" s="2831" t="s">
        <v>2605</v>
      </c>
      <c r="C440" s="2831">
        <v>204</v>
      </c>
      <c r="D440" s="2831" t="s">
        <v>2640</v>
      </c>
      <c r="E440" s="2831" t="s">
        <v>2169</v>
      </c>
    </row>
    <row r="441" spans="1:5">
      <c r="A441" s="2831">
        <v>631</v>
      </c>
      <c r="B441" s="2831" t="s">
        <v>2605</v>
      </c>
      <c r="C441" s="2831">
        <v>379</v>
      </c>
      <c r="D441" s="2831" t="s">
        <v>2641</v>
      </c>
      <c r="E441" s="2831" t="s">
        <v>2174</v>
      </c>
    </row>
    <row r="442" spans="1:5">
      <c r="A442" s="2831">
        <v>631</v>
      </c>
      <c r="B442" s="2831" t="s">
        <v>2605</v>
      </c>
      <c r="C442" s="2831">
        <v>2058</v>
      </c>
      <c r="D442" s="2831" t="s">
        <v>2642</v>
      </c>
      <c r="E442" s="2831" t="s">
        <v>2174</v>
      </c>
    </row>
    <row r="443" spans="1:5">
      <c r="A443" s="2831">
        <v>631</v>
      </c>
      <c r="B443" s="2831" t="s">
        <v>2605</v>
      </c>
      <c r="C443" s="2831">
        <v>4058</v>
      </c>
      <c r="D443" s="2831" t="s">
        <v>2643</v>
      </c>
      <c r="E443" s="2831" t="s">
        <v>2169</v>
      </c>
    </row>
    <row r="444" spans="1:5">
      <c r="A444" s="2831">
        <v>631</v>
      </c>
      <c r="B444" s="2831" t="s">
        <v>2605</v>
      </c>
      <c r="C444" s="2831">
        <v>117</v>
      </c>
      <c r="D444" s="2831" t="s">
        <v>2644</v>
      </c>
      <c r="E444" s="2831" t="s">
        <v>2166</v>
      </c>
    </row>
    <row r="445" spans="1:5">
      <c r="A445" s="2831">
        <v>631</v>
      </c>
      <c r="B445" s="2831" t="s">
        <v>2605</v>
      </c>
      <c r="C445" s="2831">
        <v>176</v>
      </c>
      <c r="D445" s="2831" t="s">
        <v>2472</v>
      </c>
      <c r="E445" s="2831" t="s">
        <v>2166</v>
      </c>
    </row>
    <row r="446" spans="1:5">
      <c r="A446" s="2831">
        <v>631</v>
      </c>
      <c r="B446" s="2831" t="s">
        <v>2605</v>
      </c>
      <c r="C446" s="2831">
        <v>290</v>
      </c>
      <c r="D446" s="2831" t="s">
        <v>2645</v>
      </c>
      <c r="E446" s="2831" t="s">
        <v>2174</v>
      </c>
    </row>
    <row r="447" spans="1:5">
      <c r="A447" s="2831">
        <v>631</v>
      </c>
      <c r="B447" s="2831" t="s">
        <v>2605</v>
      </c>
      <c r="C447" s="2831">
        <v>109</v>
      </c>
      <c r="D447" s="2831" t="s">
        <v>2646</v>
      </c>
      <c r="E447" s="2831" t="s">
        <v>2169</v>
      </c>
    </row>
    <row r="448" spans="1:5">
      <c r="A448" s="2831">
        <v>631</v>
      </c>
      <c r="B448" s="2831" t="s">
        <v>2605</v>
      </c>
      <c r="C448" s="2831">
        <v>104</v>
      </c>
      <c r="D448" s="2831" t="s">
        <v>2647</v>
      </c>
      <c r="E448" s="2831" t="s">
        <v>2174</v>
      </c>
    </row>
    <row r="449" spans="1:5">
      <c r="A449" s="2831">
        <v>631</v>
      </c>
      <c r="B449" s="2831" t="s">
        <v>2605</v>
      </c>
      <c r="C449" s="2831">
        <v>174</v>
      </c>
      <c r="D449" s="2831" t="s">
        <v>2648</v>
      </c>
      <c r="E449" s="2831" t="s">
        <v>2174</v>
      </c>
    </row>
    <row r="450" spans="1:5">
      <c r="A450" s="2831">
        <v>631</v>
      </c>
      <c r="B450" s="2831" t="s">
        <v>2605</v>
      </c>
      <c r="C450" s="2831">
        <v>2052</v>
      </c>
      <c r="D450" s="2831" t="s">
        <v>2649</v>
      </c>
      <c r="E450" s="2831" t="s">
        <v>2174</v>
      </c>
    </row>
    <row r="451" spans="1:5">
      <c r="A451" s="2831">
        <v>631</v>
      </c>
      <c r="B451" s="2831" t="s">
        <v>2605</v>
      </c>
      <c r="C451" s="2831">
        <v>3052</v>
      </c>
      <c r="D451" s="2831" t="s">
        <v>2650</v>
      </c>
      <c r="E451" s="2831" t="s">
        <v>2174</v>
      </c>
    </row>
    <row r="452" spans="1:5">
      <c r="A452" s="2831">
        <v>631</v>
      </c>
      <c r="B452" s="2831" t="s">
        <v>2605</v>
      </c>
      <c r="C452" s="2831">
        <v>1060</v>
      </c>
      <c r="D452" s="2831" t="s">
        <v>2651</v>
      </c>
      <c r="E452" s="2831" t="s">
        <v>2166</v>
      </c>
    </row>
    <row r="453" spans="1:5">
      <c r="A453" s="2831">
        <v>631</v>
      </c>
      <c r="B453" s="2831" t="s">
        <v>2605</v>
      </c>
      <c r="C453" s="2831">
        <v>276</v>
      </c>
      <c r="D453" s="2831" t="s">
        <v>2652</v>
      </c>
      <c r="E453" s="2831" t="s">
        <v>2166</v>
      </c>
    </row>
    <row r="454" spans="1:5">
      <c r="A454" s="2831">
        <v>631</v>
      </c>
      <c r="B454" s="2831" t="s">
        <v>2605</v>
      </c>
      <c r="C454" s="2831">
        <v>378</v>
      </c>
      <c r="D454" s="2831" t="s">
        <v>2653</v>
      </c>
      <c r="E454" s="2831" t="s">
        <v>2169</v>
      </c>
    </row>
    <row r="455" spans="1:5">
      <c r="A455" s="2831">
        <v>631</v>
      </c>
      <c r="B455" s="2831" t="s">
        <v>2605</v>
      </c>
      <c r="C455" s="2831">
        <v>181</v>
      </c>
      <c r="D455" s="2831" t="s">
        <v>2654</v>
      </c>
      <c r="E455" s="2831" t="s">
        <v>2169</v>
      </c>
    </row>
    <row r="456" spans="1:5">
      <c r="A456" s="2831">
        <v>631</v>
      </c>
      <c r="B456" s="2831" t="s">
        <v>2605</v>
      </c>
      <c r="C456" s="2831">
        <v>277</v>
      </c>
      <c r="D456" s="2831" t="s">
        <v>2655</v>
      </c>
      <c r="E456" s="2831" t="s">
        <v>2174</v>
      </c>
    </row>
    <row r="457" spans="1:5">
      <c r="A457" s="2831">
        <v>631</v>
      </c>
      <c r="B457" s="2831" t="s">
        <v>2605</v>
      </c>
      <c r="C457" s="2831">
        <v>207</v>
      </c>
      <c r="D457" s="2831" t="s">
        <v>2656</v>
      </c>
      <c r="E457" s="2831" t="s">
        <v>2174</v>
      </c>
    </row>
    <row r="458" spans="1:5">
      <c r="A458" s="2831">
        <v>631</v>
      </c>
      <c r="B458" s="2831" t="s">
        <v>2605</v>
      </c>
      <c r="C458" s="2831">
        <v>195</v>
      </c>
      <c r="D458" s="2831" t="s">
        <v>2657</v>
      </c>
      <c r="E458" s="2831" t="s">
        <v>2166</v>
      </c>
    </row>
    <row r="459" spans="1:5">
      <c r="A459" s="2831">
        <v>631</v>
      </c>
      <c r="B459" s="2831" t="s">
        <v>2605</v>
      </c>
      <c r="C459" s="2831">
        <v>2060</v>
      </c>
      <c r="D459" s="2831" t="s">
        <v>2658</v>
      </c>
      <c r="E459" s="2831" t="s">
        <v>2174</v>
      </c>
    </row>
    <row r="460" spans="1:5">
      <c r="A460" s="2831">
        <v>631</v>
      </c>
      <c r="B460" s="2831" t="s">
        <v>2605</v>
      </c>
      <c r="C460" s="2831">
        <v>377</v>
      </c>
      <c r="D460" s="2831" t="s">
        <v>2659</v>
      </c>
      <c r="E460" s="2831" t="s">
        <v>2174</v>
      </c>
    </row>
    <row r="461" spans="1:5">
      <c r="A461" s="2831">
        <v>631</v>
      </c>
      <c r="B461" s="2831" t="s">
        <v>2605</v>
      </c>
      <c r="C461" s="2831">
        <v>3060</v>
      </c>
      <c r="D461" s="2831" t="s">
        <v>2660</v>
      </c>
      <c r="E461" s="2831" t="s">
        <v>2166</v>
      </c>
    </row>
    <row r="462" spans="1:5">
      <c r="A462" s="2831">
        <v>631</v>
      </c>
      <c r="B462" s="2831" t="s">
        <v>2605</v>
      </c>
      <c r="C462" s="2831">
        <v>200</v>
      </c>
      <c r="D462" s="2831" t="s">
        <v>2661</v>
      </c>
      <c r="E462" s="2831" t="s">
        <v>2169</v>
      </c>
    </row>
    <row r="463" spans="1:5">
      <c r="A463" s="2831">
        <v>631</v>
      </c>
      <c r="B463" s="2831" t="s">
        <v>2605</v>
      </c>
      <c r="C463" s="2831">
        <v>107</v>
      </c>
      <c r="D463" s="2831" t="s">
        <v>2662</v>
      </c>
      <c r="E463" s="2831" t="s">
        <v>2166</v>
      </c>
    </row>
    <row r="464" spans="1:5">
      <c r="A464" s="2831">
        <v>631</v>
      </c>
      <c r="B464" s="2831" t="s">
        <v>2605</v>
      </c>
      <c r="C464" s="2831">
        <v>4060</v>
      </c>
      <c r="D464" s="2831" t="s">
        <v>2663</v>
      </c>
      <c r="E464" s="2831" t="s">
        <v>2166</v>
      </c>
    </row>
    <row r="465" spans="1:5">
      <c r="A465" s="2831">
        <v>631</v>
      </c>
      <c r="B465" s="2831" t="s">
        <v>2605</v>
      </c>
      <c r="C465" s="2831">
        <v>5060</v>
      </c>
      <c r="D465" s="2831" t="s">
        <v>2664</v>
      </c>
      <c r="E465" s="2831" t="s">
        <v>2166</v>
      </c>
    </row>
    <row r="466" spans="1:5">
      <c r="A466" s="2831">
        <v>631</v>
      </c>
      <c r="B466" s="2831" t="s">
        <v>2605</v>
      </c>
      <c r="C466" s="2831">
        <v>1062</v>
      </c>
      <c r="D466" s="2831" t="s">
        <v>2665</v>
      </c>
      <c r="E466" s="2831" t="s">
        <v>2174</v>
      </c>
    </row>
    <row r="467" spans="1:5">
      <c r="A467" s="2831">
        <v>631</v>
      </c>
      <c r="B467" s="2831" t="s">
        <v>2605</v>
      </c>
      <c r="C467" s="2831">
        <v>105</v>
      </c>
      <c r="D467" s="2831" t="s">
        <v>2666</v>
      </c>
      <c r="E467" s="2831" t="s">
        <v>2169</v>
      </c>
    </row>
    <row r="468" spans="1:5">
      <c r="A468" s="2831">
        <v>631</v>
      </c>
      <c r="B468" s="2831" t="s">
        <v>2605</v>
      </c>
      <c r="C468" s="2831">
        <v>307</v>
      </c>
      <c r="D468" s="2831" t="s">
        <v>2667</v>
      </c>
      <c r="E468" s="2831" t="s">
        <v>2174</v>
      </c>
    </row>
    <row r="469" spans="1:5">
      <c r="A469" s="2831">
        <v>631</v>
      </c>
      <c r="B469" s="2831" t="s">
        <v>2605</v>
      </c>
      <c r="C469" s="2831">
        <v>382</v>
      </c>
      <c r="D469" s="2831" t="s">
        <v>2668</v>
      </c>
      <c r="E469" s="2831" t="s">
        <v>2169</v>
      </c>
    </row>
    <row r="470" spans="1:5">
      <c r="A470" s="2831">
        <v>631</v>
      </c>
      <c r="B470" s="2831" t="s">
        <v>2605</v>
      </c>
      <c r="C470" s="2831">
        <v>383</v>
      </c>
      <c r="D470" s="2831" t="s">
        <v>2669</v>
      </c>
      <c r="E470" s="2831" t="s">
        <v>2169</v>
      </c>
    </row>
    <row r="471" spans="1:5">
      <c r="A471" s="2831">
        <v>631</v>
      </c>
      <c r="B471" s="2831" t="s">
        <v>2605</v>
      </c>
      <c r="C471" s="2831">
        <v>2062</v>
      </c>
      <c r="D471" s="2831" t="s">
        <v>2670</v>
      </c>
      <c r="E471" s="2831" t="s">
        <v>2169</v>
      </c>
    </row>
    <row r="472" spans="1:5">
      <c r="A472" s="2831">
        <v>631</v>
      </c>
      <c r="B472" s="2831" t="s">
        <v>2605</v>
      </c>
      <c r="C472" s="2831">
        <v>5056</v>
      </c>
      <c r="D472" s="2831" t="s">
        <v>2671</v>
      </c>
      <c r="E472" s="2831" t="s">
        <v>2166</v>
      </c>
    </row>
    <row r="473" spans="1:5">
      <c r="A473" s="2831">
        <v>632</v>
      </c>
      <c r="B473" s="2831" t="s">
        <v>2672</v>
      </c>
      <c r="C473" s="2831">
        <v>101</v>
      </c>
      <c r="D473" s="2831" t="s">
        <v>2673</v>
      </c>
      <c r="E473" s="2831" t="s">
        <v>2174</v>
      </c>
    </row>
    <row r="474" spans="1:5">
      <c r="A474" s="2831">
        <v>632</v>
      </c>
      <c r="B474" s="2831" t="s">
        <v>2672</v>
      </c>
      <c r="C474" s="2831">
        <v>1050</v>
      </c>
      <c r="D474" s="2831" t="s">
        <v>2674</v>
      </c>
      <c r="E474" s="2831" t="s">
        <v>2174</v>
      </c>
    </row>
    <row r="475" spans="1:5">
      <c r="A475" s="2831">
        <v>632</v>
      </c>
      <c r="B475" s="2831" t="s">
        <v>2672</v>
      </c>
      <c r="C475" s="2831">
        <v>201</v>
      </c>
      <c r="D475" s="2831" t="s">
        <v>2675</v>
      </c>
      <c r="E475" s="2831" t="s">
        <v>2169</v>
      </c>
    </row>
    <row r="476" spans="1:5">
      <c r="A476" s="2831">
        <v>633</v>
      </c>
      <c r="B476" s="2831" t="s">
        <v>2676</v>
      </c>
      <c r="C476" s="2831">
        <v>302</v>
      </c>
      <c r="D476" s="2831" t="s">
        <v>2677</v>
      </c>
      <c r="E476" s="2831" t="s">
        <v>2174</v>
      </c>
    </row>
    <row r="477" spans="1:5">
      <c r="A477" s="2831">
        <v>633</v>
      </c>
      <c r="B477" s="2831" t="s">
        <v>2676</v>
      </c>
      <c r="C477" s="2831">
        <v>289</v>
      </c>
      <c r="D477" s="2831" t="s">
        <v>2678</v>
      </c>
      <c r="E477" s="2831" t="s">
        <v>2166</v>
      </c>
    </row>
    <row r="478" spans="1:5">
      <c r="A478" s="2831">
        <v>633</v>
      </c>
      <c r="B478" s="2831" t="s">
        <v>2676</v>
      </c>
      <c r="C478" s="2831">
        <v>209</v>
      </c>
      <c r="D478" s="2831" t="s">
        <v>2679</v>
      </c>
      <c r="E478" s="2831" t="s">
        <v>2166</v>
      </c>
    </row>
    <row r="479" spans="1:5">
      <c r="A479" s="2831">
        <v>633</v>
      </c>
      <c r="B479" s="2831" t="s">
        <v>2676</v>
      </c>
      <c r="C479" s="2831">
        <v>2050</v>
      </c>
      <c r="D479" s="2831" t="s">
        <v>2680</v>
      </c>
      <c r="E479" s="2831" t="s">
        <v>2169</v>
      </c>
    </row>
    <row r="480" spans="1:5">
      <c r="A480" s="2831">
        <v>633</v>
      </c>
      <c r="B480" s="2831" t="s">
        <v>2676</v>
      </c>
      <c r="C480" s="2831">
        <v>207</v>
      </c>
      <c r="D480" s="2831" t="s">
        <v>2681</v>
      </c>
      <c r="E480" s="2831" t="s">
        <v>2174</v>
      </c>
    </row>
    <row r="481" spans="1:5">
      <c r="A481" s="2831">
        <v>633</v>
      </c>
      <c r="B481" s="2831" t="s">
        <v>2676</v>
      </c>
      <c r="C481" s="2831">
        <v>4050</v>
      </c>
      <c r="D481" s="2831" t="s">
        <v>2682</v>
      </c>
      <c r="E481" s="2831" t="s">
        <v>2169</v>
      </c>
    </row>
    <row r="482" spans="1:5">
      <c r="A482" s="2831">
        <v>633</v>
      </c>
      <c r="B482" s="2831" t="s">
        <v>2676</v>
      </c>
      <c r="C482" s="2831">
        <v>189</v>
      </c>
      <c r="D482" s="2831" t="s">
        <v>2683</v>
      </c>
      <c r="E482" s="2831" t="s">
        <v>2174</v>
      </c>
    </row>
    <row r="483" spans="1:5">
      <c r="A483" s="2831">
        <v>633</v>
      </c>
      <c r="B483" s="2831" t="s">
        <v>2676</v>
      </c>
      <c r="C483" s="2831">
        <v>407</v>
      </c>
      <c r="D483" s="2831" t="s">
        <v>2684</v>
      </c>
      <c r="E483" s="2831" t="s">
        <v>2166</v>
      </c>
    </row>
    <row r="484" spans="1:5">
      <c r="A484" s="2831">
        <v>633</v>
      </c>
      <c r="B484" s="2831" t="s">
        <v>2676</v>
      </c>
      <c r="C484" s="2831">
        <v>5050</v>
      </c>
      <c r="D484" s="2831" t="s">
        <v>2685</v>
      </c>
      <c r="E484" s="2831" t="s">
        <v>2166</v>
      </c>
    </row>
    <row r="485" spans="1:5">
      <c r="A485" s="2831">
        <v>633</v>
      </c>
      <c r="B485" s="2831" t="s">
        <v>2676</v>
      </c>
      <c r="C485" s="2831">
        <v>1052</v>
      </c>
      <c r="D485" s="2831" t="s">
        <v>2686</v>
      </c>
      <c r="E485" s="2831" t="s">
        <v>2174</v>
      </c>
    </row>
    <row r="486" spans="1:5">
      <c r="A486" s="2831">
        <v>633</v>
      </c>
      <c r="B486" s="2831" t="s">
        <v>2676</v>
      </c>
      <c r="C486" s="2831">
        <v>309</v>
      </c>
      <c r="D486" s="2831" t="s">
        <v>2687</v>
      </c>
      <c r="E486" s="2831" t="s">
        <v>2166</v>
      </c>
    </row>
    <row r="487" spans="1:5">
      <c r="A487" s="2831">
        <v>633</v>
      </c>
      <c r="B487" s="2831" t="s">
        <v>2676</v>
      </c>
      <c r="C487" s="2831">
        <v>504</v>
      </c>
      <c r="D487" s="2831" t="s">
        <v>2688</v>
      </c>
      <c r="E487" s="2831" t="s">
        <v>2174</v>
      </c>
    </row>
    <row r="488" spans="1:5">
      <c r="A488" s="2831">
        <v>633</v>
      </c>
      <c r="B488" s="2831" t="s">
        <v>2676</v>
      </c>
      <c r="C488" s="2831">
        <v>173</v>
      </c>
      <c r="D488" s="2831" t="s">
        <v>2689</v>
      </c>
      <c r="E488" s="2831" t="s">
        <v>2174</v>
      </c>
    </row>
    <row r="489" spans="1:5">
      <c r="A489" s="2831">
        <v>633</v>
      </c>
      <c r="B489" s="2831" t="s">
        <v>2676</v>
      </c>
      <c r="C489" s="2831">
        <v>399</v>
      </c>
      <c r="D489" s="2831" t="s">
        <v>2690</v>
      </c>
      <c r="E489" s="2831" t="s">
        <v>2166</v>
      </c>
    </row>
    <row r="490" spans="1:5">
      <c r="A490" s="2831">
        <v>633</v>
      </c>
      <c r="B490" s="2831" t="s">
        <v>2676</v>
      </c>
      <c r="C490" s="2831">
        <v>5052</v>
      </c>
      <c r="D490" s="2831" t="s">
        <v>2691</v>
      </c>
      <c r="E490" s="2831" t="s">
        <v>2174</v>
      </c>
    </row>
    <row r="491" spans="1:5">
      <c r="A491" s="2831">
        <v>633</v>
      </c>
      <c r="B491" s="2831" t="s">
        <v>2676</v>
      </c>
      <c r="C491" s="2831">
        <v>592</v>
      </c>
      <c r="D491" s="2831" t="s">
        <v>2692</v>
      </c>
      <c r="E491" s="2831" t="s">
        <v>2174</v>
      </c>
    </row>
    <row r="492" spans="1:5">
      <c r="A492" s="2831">
        <v>633</v>
      </c>
      <c r="B492" s="2831" t="s">
        <v>2676</v>
      </c>
      <c r="C492" s="2831">
        <v>104</v>
      </c>
      <c r="D492" s="2831" t="s">
        <v>2693</v>
      </c>
      <c r="E492" s="2831" t="s">
        <v>2169</v>
      </c>
    </row>
    <row r="493" spans="1:5">
      <c r="A493" s="2831">
        <v>633</v>
      </c>
      <c r="B493" s="2831" t="s">
        <v>2676</v>
      </c>
      <c r="C493" s="2831">
        <v>1054</v>
      </c>
      <c r="D493" s="2831" t="s">
        <v>2694</v>
      </c>
      <c r="E493" s="2831" t="s">
        <v>2166</v>
      </c>
    </row>
    <row r="494" spans="1:5">
      <c r="A494" s="2831">
        <v>633</v>
      </c>
      <c r="B494" s="2831" t="s">
        <v>2676</v>
      </c>
      <c r="C494" s="2831">
        <v>290</v>
      </c>
      <c r="D494" s="2831" t="s">
        <v>2695</v>
      </c>
      <c r="E494" s="2831" t="s">
        <v>2166</v>
      </c>
    </row>
    <row r="495" spans="1:5">
      <c r="A495" s="2831">
        <v>633</v>
      </c>
      <c r="B495" s="2831" t="s">
        <v>2676</v>
      </c>
      <c r="C495" s="2831">
        <v>198</v>
      </c>
      <c r="D495" s="2831" t="s">
        <v>2696</v>
      </c>
      <c r="E495" s="2831" t="s">
        <v>2166</v>
      </c>
    </row>
    <row r="496" spans="1:5">
      <c r="A496" s="2831">
        <v>633</v>
      </c>
      <c r="B496" s="2831" t="s">
        <v>2676</v>
      </c>
      <c r="C496" s="2831">
        <v>298</v>
      </c>
      <c r="D496" s="2831" t="s">
        <v>2697</v>
      </c>
      <c r="E496" s="2831" t="s">
        <v>2166</v>
      </c>
    </row>
    <row r="497" spans="1:5">
      <c r="A497" s="2831">
        <v>633</v>
      </c>
      <c r="B497" s="2831" t="s">
        <v>2676</v>
      </c>
      <c r="C497" s="2831">
        <v>102</v>
      </c>
      <c r="D497" s="2831" t="s">
        <v>2698</v>
      </c>
      <c r="E497" s="2831" t="s">
        <v>2174</v>
      </c>
    </row>
    <row r="498" spans="1:5">
      <c r="A498" s="2831">
        <v>633</v>
      </c>
      <c r="B498" s="2831" t="s">
        <v>2676</v>
      </c>
      <c r="C498" s="2831">
        <v>117</v>
      </c>
      <c r="D498" s="2831" t="s">
        <v>2699</v>
      </c>
      <c r="E498" s="2831" t="s">
        <v>2174</v>
      </c>
    </row>
    <row r="499" spans="1:5">
      <c r="A499" s="2831">
        <v>633</v>
      </c>
      <c r="B499" s="2831" t="s">
        <v>2676</v>
      </c>
      <c r="C499" s="2831">
        <v>809</v>
      </c>
      <c r="D499" s="2831" t="s">
        <v>2700</v>
      </c>
      <c r="E499" s="2831" t="s">
        <v>2174</v>
      </c>
    </row>
    <row r="500" spans="1:5">
      <c r="A500" s="2831">
        <v>633</v>
      </c>
      <c r="B500" s="2831" t="s">
        <v>2676</v>
      </c>
      <c r="C500" s="2831">
        <v>808</v>
      </c>
      <c r="D500" s="2831" t="s">
        <v>2701</v>
      </c>
      <c r="E500" s="2831" t="s">
        <v>2174</v>
      </c>
    </row>
    <row r="501" spans="1:5">
      <c r="A501" s="2831">
        <v>633</v>
      </c>
      <c r="B501" s="2831" t="s">
        <v>2676</v>
      </c>
      <c r="C501" s="2831">
        <v>3556</v>
      </c>
      <c r="D501" s="2831" t="s">
        <v>2702</v>
      </c>
      <c r="E501" s="2831" t="s">
        <v>2166</v>
      </c>
    </row>
    <row r="502" spans="1:5">
      <c r="A502" s="2831">
        <v>633</v>
      </c>
      <c r="B502" s="2831" t="s">
        <v>2676</v>
      </c>
      <c r="C502" s="2831">
        <v>502</v>
      </c>
      <c r="D502" s="2831" t="s">
        <v>2703</v>
      </c>
      <c r="E502" s="2831" t="s">
        <v>2174</v>
      </c>
    </row>
    <row r="503" spans="1:5">
      <c r="A503" s="2831">
        <v>633</v>
      </c>
      <c r="B503" s="2831" t="s">
        <v>2676</v>
      </c>
      <c r="C503" s="2831">
        <v>4056</v>
      </c>
      <c r="D503" s="2831" t="s">
        <v>2704</v>
      </c>
      <c r="E503" s="2831" t="s">
        <v>2166</v>
      </c>
    </row>
    <row r="504" spans="1:5">
      <c r="A504" s="2831">
        <v>633</v>
      </c>
      <c r="B504" s="2831" t="s">
        <v>2676</v>
      </c>
      <c r="C504" s="2831">
        <v>388</v>
      </c>
      <c r="D504" s="2831" t="s">
        <v>2705</v>
      </c>
      <c r="E504" s="2831" t="s">
        <v>2166</v>
      </c>
    </row>
    <row r="505" spans="1:5">
      <c r="A505" s="2831">
        <v>633</v>
      </c>
      <c r="B505" s="2831" t="s">
        <v>2676</v>
      </c>
      <c r="C505" s="2831">
        <v>281</v>
      </c>
      <c r="D505" s="2831" t="s">
        <v>2706</v>
      </c>
      <c r="E505" s="2831" t="s">
        <v>2174</v>
      </c>
    </row>
    <row r="506" spans="1:5">
      <c r="A506" s="2831">
        <v>633</v>
      </c>
      <c r="B506" s="2831" t="s">
        <v>2676</v>
      </c>
      <c r="C506" s="2831">
        <v>275</v>
      </c>
      <c r="D506" s="2831" t="s">
        <v>2707</v>
      </c>
      <c r="E506" s="2831" t="s">
        <v>2169</v>
      </c>
    </row>
    <row r="507" spans="1:5">
      <c r="A507" s="2831">
        <v>633</v>
      </c>
      <c r="B507" s="2831" t="s">
        <v>2676</v>
      </c>
      <c r="C507" s="2831">
        <v>190</v>
      </c>
      <c r="D507" s="2831" t="s">
        <v>2708</v>
      </c>
      <c r="E507" s="2831" t="s">
        <v>2169</v>
      </c>
    </row>
    <row r="508" spans="1:5">
      <c r="A508" s="2831">
        <v>633</v>
      </c>
      <c r="B508" s="2831" t="s">
        <v>2676</v>
      </c>
      <c r="C508" s="2831">
        <v>5056</v>
      </c>
      <c r="D508" s="2831" t="s">
        <v>2709</v>
      </c>
      <c r="E508" s="2831" t="s">
        <v>2174</v>
      </c>
    </row>
    <row r="509" spans="1:5">
      <c r="A509" s="2831">
        <v>633</v>
      </c>
      <c r="B509" s="2831" t="s">
        <v>2676</v>
      </c>
      <c r="C509" s="2831">
        <v>299</v>
      </c>
      <c r="D509" s="2831" t="s">
        <v>2710</v>
      </c>
      <c r="E509" s="2831" t="s">
        <v>2166</v>
      </c>
    </row>
    <row r="510" spans="1:5">
      <c r="A510" s="2831">
        <v>633</v>
      </c>
      <c r="B510" s="2831" t="s">
        <v>2676</v>
      </c>
      <c r="C510" s="2831">
        <v>1056</v>
      </c>
      <c r="D510" s="2831" t="s">
        <v>2711</v>
      </c>
      <c r="E510" s="2831" t="s">
        <v>2169</v>
      </c>
    </row>
    <row r="511" spans="1:5">
      <c r="A511" s="2831">
        <v>633</v>
      </c>
      <c r="B511" s="2831" t="s">
        <v>2676</v>
      </c>
      <c r="C511" s="2831">
        <v>114</v>
      </c>
      <c r="D511" s="2831" t="s">
        <v>2712</v>
      </c>
      <c r="E511" s="2831" t="s">
        <v>2166</v>
      </c>
    </row>
    <row r="512" spans="1:5">
      <c r="A512" s="2831">
        <v>633</v>
      </c>
      <c r="B512" s="2831" t="s">
        <v>2676</v>
      </c>
      <c r="C512" s="2831">
        <v>5068</v>
      </c>
      <c r="D512" s="2831" t="s">
        <v>2713</v>
      </c>
      <c r="E512" s="2831" t="s">
        <v>2166</v>
      </c>
    </row>
    <row r="513" spans="1:5">
      <c r="A513" s="2831">
        <v>633</v>
      </c>
      <c r="B513" s="2831" t="s">
        <v>2676</v>
      </c>
      <c r="C513" s="2831">
        <v>3058</v>
      </c>
      <c r="D513" s="2831" t="s">
        <v>2714</v>
      </c>
      <c r="E513" s="2831" t="s">
        <v>2174</v>
      </c>
    </row>
    <row r="514" spans="1:5">
      <c r="A514" s="2831">
        <v>633</v>
      </c>
      <c r="B514" s="2831" t="s">
        <v>2676</v>
      </c>
      <c r="C514" s="2831">
        <v>5058</v>
      </c>
      <c r="D514" s="2831" t="s">
        <v>2715</v>
      </c>
      <c r="E514" s="2831" t="s">
        <v>2166</v>
      </c>
    </row>
    <row r="515" spans="1:5">
      <c r="A515" s="2831">
        <v>633</v>
      </c>
      <c r="B515" s="2831" t="s">
        <v>2676</v>
      </c>
      <c r="C515" s="2831">
        <v>292</v>
      </c>
      <c r="D515" s="2831" t="s">
        <v>2716</v>
      </c>
      <c r="E515" s="2831" t="s">
        <v>2166</v>
      </c>
    </row>
    <row r="516" spans="1:5">
      <c r="A516" s="2831">
        <v>633</v>
      </c>
      <c r="B516" s="2831" t="s">
        <v>2676</v>
      </c>
      <c r="C516" s="2831">
        <v>297</v>
      </c>
      <c r="D516" s="2831" t="s">
        <v>2717</v>
      </c>
      <c r="E516" s="2831" t="s">
        <v>2169</v>
      </c>
    </row>
    <row r="517" spans="1:5">
      <c r="A517" s="2831">
        <v>633</v>
      </c>
      <c r="B517" s="2831" t="s">
        <v>2676</v>
      </c>
      <c r="C517" s="2831">
        <v>1060</v>
      </c>
      <c r="D517" s="2831" t="s">
        <v>2718</v>
      </c>
      <c r="E517" s="2831" t="s">
        <v>2174</v>
      </c>
    </row>
    <row r="518" spans="1:5">
      <c r="A518" s="2831">
        <v>633</v>
      </c>
      <c r="B518" s="2831" t="s">
        <v>2676</v>
      </c>
      <c r="C518" s="2831">
        <v>185</v>
      </c>
      <c r="D518" s="2831" t="s">
        <v>2719</v>
      </c>
      <c r="E518" s="2831" t="s">
        <v>2166</v>
      </c>
    </row>
    <row r="519" spans="1:5">
      <c r="A519" s="2831">
        <v>633</v>
      </c>
      <c r="B519" s="2831" t="s">
        <v>2676</v>
      </c>
      <c r="C519" s="2831">
        <v>397</v>
      </c>
      <c r="D519" s="2831" t="s">
        <v>2720</v>
      </c>
      <c r="E519" s="2831" t="s">
        <v>2169</v>
      </c>
    </row>
    <row r="520" spans="1:5">
      <c r="A520" s="2831">
        <v>633</v>
      </c>
      <c r="B520" s="2831" t="s">
        <v>2676</v>
      </c>
      <c r="C520" s="2831">
        <v>2560</v>
      </c>
      <c r="D520" s="2831" t="s">
        <v>2721</v>
      </c>
      <c r="E520" s="2831" t="s">
        <v>2166</v>
      </c>
    </row>
    <row r="521" spans="1:5">
      <c r="A521" s="2831">
        <v>633</v>
      </c>
      <c r="B521" s="2831" t="s">
        <v>2676</v>
      </c>
      <c r="C521" s="2831">
        <v>192</v>
      </c>
      <c r="D521" s="2831" t="s">
        <v>2722</v>
      </c>
      <c r="E521" s="2831" t="s">
        <v>2166</v>
      </c>
    </row>
    <row r="522" spans="1:5">
      <c r="A522" s="2831">
        <v>633</v>
      </c>
      <c r="B522" s="2831" t="s">
        <v>2676</v>
      </c>
      <c r="C522" s="2831">
        <v>194</v>
      </c>
      <c r="D522" s="2831" t="s">
        <v>2723</v>
      </c>
      <c r="E522" s="2831" t="s">
        <v>2169</v>
      </c>
    </row>
    <row r="523" spans="1:5">
      <c r="A523" s="2831">
        <v>633</v>
      </c>
      <c r="B523" s="2831" t="s">
        <v>2676</v>
      </c>
      <c r="C523" s="2831">
        <v>402</v>
      </c>
      <c r="D523" s="2831" t="s">
        <v>2724</v>
      </c>
      <c r="E523" s="2831" t="s">
        <v>2166</v>
      </c>
    </row>
    <row r="524" spans="1:5">
      <c r="A524" s="2831">
        <v>633</v>
      </c>
      <c r="B524" s="2831" t="s">
        <v>2676</v>
      </c>
      <c r="C524" s="2831">
        <v>394</v>
      </c>
      <c r="D524" s="2831" t="s">
        <v>2725</v>
      </c>
      <c r="E524" s="2831" t="s">
        <v>2166</v>
      </c>
    </row>
    <row r="525" spans="1:5">
      <c r="A525" s="2831">
        <v>633</v>
      </c>
      <c r="B525" s="2831" t="s">
        <v>2676</v>
      </c>
      <c r="C525" s="2831">
        <v>707</v>
      </c>
      <c r="D525" s="2831" t="s">
        <v>2726</v>
      </c>
      <c r="E525" s="2831" t="s">
        <v>2166</v>
      </c>
    </row>
    <row r="526" spans="1:5">
      <c r="A526" s="2831">
        <v>633</v>
      </c>
      <c r="B526" s="2831" t="s">
        <v>2676</v>
      </c>
      <c r="C526" s="2831">
        <v>4560</v>
      </c>
      <c r="D526" s="2831" t="s">
        <v>2727</v>
      </c>
      <c r="E526" s="2831" t="s">
        <v>2174</v>
      </c>
    </row>
    <row r="527" spans="1:5">
      <c r="A527" s="2831">
        <v>633</v>
      </c>
      <c r="B527" s="2831" t="s">
        <v>2676</v>
      </c>
      <c r="C527" s="2831">
        <v>187</v>
      </c>
      <c r="D527" s="2831" t="s">
        <v>2728</v>
      </c>
      <c r="E527" s="2831" t="s">
        <v>2169</v>
      </c>
    </row>
    <row r="528" spans="1:5">
      <c r="A528" s="2831">
        <v>633</v>
      </c>
      <c r="B528" s="2831" t="s">
        <v>2676</v>
      </c>
      <c r="C528" s="2831">
        <v>103</v>
      </c>
      <c r="D528" s="2831" t="s">
        <v>2729</v>
      </c>
      <c r="E528" s="2831" t="s">
        <v>2174</v>
      </c>
    </row>
    <row r="529" spans="1:5">
      <c r="A529" s="2831">
        <v>633</v>
      </c>
      <c r="B529" s="2831" t="s">
        <v>2676</v>
      </c>
      <c r="C529" s="2831">
        <v>203</v>
      </c>
      <c r="D529" s="2831" t="s">
        <v>2630</v>
      </c>
      <c r="E529" s="2831" t="s">
        <v>2166</v>
      </c>
    </row>
    <row r="530" spans="1:5">
      <c r="A530" s="2831">
        <v>633</v>
      </c>
      <c r="B530" s="2831" t="s">
        <v>2676</v>
      </c>
      <c r="C530" s="2831">
        <v>404</v>
      </c>
      <c r="D530" s="2831" t="s">
        <v>2730</v>
      </c>
      <c r="E530" s="2831" t="s">
        <v>2166</v>
      </c>
    </row>
    <row r="531" spans="1:5">
      <c r="A531" s="2831">
        <v>633</v>
      </c>
      <c r="B531" s="2831" t="s">
        <v>2676</v>
      </c>
      <c r="C531" s="2831">
        <v>101</v>
      </c>
      <c r="D531" s="2831" t="s">
        <v>2731</v>
      </c>
      <c r="E531" s="2831" t="s">
        <v>2174</v>
      </c>
    </row>
    <row r="532" spans="1:5">
      <c r="A532" s="2831">
        <v>633</v>
      </c>
      <c r="B532" s="2831" t="s">
        <v>2676</v>
      </c>
      <c r="C532" s="2831">
        <v>273</v>
      </c>
      <c r="D532" s="2831" t="s">
        <v>2732</v>
      </c>
      <c r="E532" s="2831" t="s">
        <v>2166</v>
      </c>
    </row>
    <row r="533" spans="1:5">
      <c r="A533" s="2831">
        <v>633</v>
      </c>
      <c r="B533" s="2831" t="s">
        <v>2676</v>
      </c>
      <c r="C533" s="2831">
        <v>2062</v>
      </c>
      <c r="D533" s="2831" t="s">
        <v>2733</v>
      </c>
      <c r="E533" s="2831" t="s">
        <v>2166</v>
      </c>
    </row>
    <row r="534" spans="1:5">
      <c r="A534" s="2831">
        <v>633</v>
      </c>
      <c r="B534" s="2831" t="s">
        <v>2676</v>
      </c>
      <c r="C534" s="2831">
        <v>3062</v>
      </c>
      <c r="D534" s="2831" t="s">
        <v>2734</v>
      </c>
      <c r="E534" s="2831" t="s">
        <v>2166</v>
      </c>
    </row>
    <row r="535" spans="1:5">
      <c r="A535" s="2831">
        <v>633</v>
      </c>
      <c r="B535" s="2831" t="s">
        <v>2676</v>
      </c>
      <c r="C535" s="2831">
        <v>381</v>
      </c>
      <c r="D535" s="2831" t="s">
        <v>2735</v>
      </c>
      <c r="E535" s="2831" t="s">
        <v>2174</v>
      </c>
    </row>
    <row r="536" spans="1:5">
      <c r="A536" s="2831">
        <v>633</v>
      </c>
      <c r="B536" s="2831" t="s">
        <v>2676</v>
      </c>
      <c r="C536" s="2831">
        <v>287</v>
      </c>
      <c r="D536" s="2831" t="s">
        <v>2736</v>
      </c>
      <c r="E536" s="2831" t="s">
        <v>2166</v>
      </c>
    </row>
    <row r="537" spans="1:5">
      <c r="A537" s="2831">
        <v>633</v>
      </c>
      <c r="B537" s="2831" t="s">
        <v>2676</v>
      </c>
      <c r="C537" s="2831">
        <v>202</v>
      </c>
      <c r="D537" s="2831" t="s">
        <v>2737</v>
      </c>
      <c r="E537" s="2831" t="s">
        <v>2174</v>
      </c>
    </row>
    <row r="538" spans="1:5">
      <c r="A538" s="2831">
        <v>633</v>
      </c>
      <c r="B538" s="2831" t="s">
        <v>2676</v>
      </c>
      <c r="C538" s="2831">
        <v>499</v>
      </c>
      <c r="D538" s="2831" t="s">
        <v>2738</v>
      </c>
      <c r="E538" s="2831" t="s">
        <v>2169</v>
      </c>
    </row>
    <row r="539" spans="1:5">
      <c r="A539" s="2831">
        <v>633</v>
      </c>
      <c r="B539" s="2831" t="s">
        <v>2676</v>
      </c>
      <c r="C539" s="2831">
        <v>607</v>
      </c>
      <c r="D539" s="2831" t="s">
        <v>2739</v>
      </c>
      <c r="E539" s="2831" t="s">
        <v>2169</v>
      </c>
    </row>
    <row r="540" spans="1:5">
      <c r="A540" s="2831">
        <v>633</v>
      </c>
      <c r="B540" s="2831" t="s">
        <v>2676</v>
      </c>
      <c r="C540" s="2831">
        <v>118</v>
      </c>
      <c r="D540" s="2831" t="s">
        <v>2740</v>
      </c>
      <c r="E540" s="2831" t="s">
        <v>2169</v>
      </c>
    </row>
    <row r="541" spans="1:5">
      <c r="A541" s="2831">
        <v>633</v>
      </c>
      <c r="B541" s="2831" t="s">
        <v>2676</v>
      </c>
      <c r="C541" s="2831">
        <v>178</v>
      </c>
      <c r="D541" s="2831" t="s">
        <v>2741</v>
      </c>
      <c r="E541" s="2831" t="s">
        <v>2166</v>
      </c>
    </row>
    <row r="542" spans="1:5">
      <c r="A542" s="2831">
        <v>633</v>
      </c>
      <c r="B542" s="2831" t="s">
        <v>2676</v>
      </c>
      <c r="C542" s="2831">
        <v>107</v>
      </c>
      <c r="D542" s="2831" t="s">
        <v>2742</v>
      </c>
      <c r="E542" s="2831" t="s">
        <v>2174</v>
      </c>
    </row>
    <row r="543" spans="1:5">
      <c r="A543" s="2831">
        <v>633</v>
      </c>
      <c r="B543" s="2831" t="s">
        <v>2676</v>
      </c>
      <c r="C543" s="2831">
        <v>184</v>
      </c>
      <c r="D543" s="2831" t="s">
        <v>2743</v>
      </c>
      <c r="E543" s="2831" t="s">
        <v>2174</v>
      </c>
    </row>
    <row r="544" spans="1:5">
      <c r="A544" s="2831">
        <v>633</v>
      </c>
      <c r="B544" s="2831" t="s">
        <v>2676</v>
      </c>
      <c r="C544" s="2831">
        <v>507</v>
      </c>
      <c r="D544" s="2831" t="s">
        <v>2744</v>
      </c>
      <c r="E544" s="2831" t="s">
        <v>2174</v>
      </c>
    </row>
    <row r="545" spans="1:5">
      <c r="A545" s="2831">
        <v>633</v>
      </c>
      <c r="B545" s="2831" t="s">
        <v>2676</v>
      </c>
      <c r="C545" s="2831">
        <v>1064</v>
      </c>
      <c r="D545" s="2831" t="s">
        <v>2745</v>
      </c>
      <c r="E545" s="2831" t="s">
        <v>2174</v>
      </c>
    </row>
    <row r="546" spans="1:5">
      <c r="A546" s="2831">
        <v>633</v>
      </c>
      <c r="B546" s="2831" t="s">
        <v>2676</v>
      </c>
      <c r="C546" s="2831">
        <v>3064</v>
      </c>
      <c r="D546" s="2831" t="s">
        <v>2746</v>
      </c>
      <c r="E546" s="2831" t="s">
        <v>2166</v>
      </c>
    </row>
    <row r="547" spans="1:5">
      <c r="A547" s="2831">
        <v>633</v>
      </c>
      <c r="B547" s="2831" t="s">
        <v>2676</v>
      </c>
      <c r="C547" s="2831">
        <v>278</v>
      </c>
      <c r="D547" s="2831" t="s">
        <v>2747</v>
      </c>
      <c r="E547" s="2831" t="s">
        <v>2166</v>
      </c>
    </row>
    <row r="548" spans="1:5">
      <c r="A548" s="2831">
        <v>633</v>
      </c>
      <c r="B548" s="2831" t="s">
        <v>2676</v>
      </c>
      <c r="C548" s="2831">
        <v>288</v>
      </c>
      <c r="D548" s="2831" t="s">
        <v>2748</v>
      </c>
      <c r="E548" s="2831" t="s">
        <v>2174</v>
      </c>
    </row>
    <row r="549" spans="1:5">
      <c r="A549" s="2831">
        <v>633</v>
      </c>
      <c r="B549" s="2831" t="s">
        <v>2676</v>
      </c>
      <c r="C549" s="2831">
        <v>375</v>
      </c>
      <c r="D549" s="2831" t="s">
        <v>2749</v>
      </c>
      <c r="E549" s="2831" t="s">
        <v>2166</v>
      </c>
    </row>
    <row r="550" spans="1:5">
      <c r="A550" s="2831">
        <v>633</v>
      </c>
      <c r="B550" s="2831" t="s">
        <v>2676</v>
      </c>
      <c r="C550" s="2831">
        <v>391</v>
      </c>
      <c r="D550" s="2831" t="s">
        <v>2750</v>
      </c>
      <c r="E550" s="2831" t="s">
        <v>2166</v>
      </c>
    </row>
    <row r="551" spans="1:5">
      <c r="A551" s="2831">
        <v>633</v>
      </c>
      <c r="B551" s="2831" t="s">
        <v>2676</v>
      </c>
      <c r="C551" s="2831">
        <v>199</v>
      </c>
      <c r="D551" s="2831" t="s">
        <v>2751</v>
      </c>
      <c r="E551" s="2831" t="s">
        <v>2169</v>
      </c>
    </row>
    <row r="552" spans="1:5">
      <c r="A552" s="2831">
        <v>633</v>
      </c>
      <c r="B552" s="2831" t="s">
        <v>2676</v>
      </c>
      <c r="C552" s="2831">
        <v>2056</v>
      </c>
      <c r="D552" s="2831" t="s">
        <v>2752</v>
      </c>
      <c r="E552" s="2831" t="s">
        <v>2169</v>
      </c>
    </row>
    <row r="553" spans="1:5">
      <c r="A553" s="2831">
        <v>633</v>
      </c>
      <c r="B553" s="2831" t="s">
        <v>2676</v>
      </c>
      <c r="C553" s="2831">
        <v>1066</v>
      </c>
      <c r="D553" s="2831" t="s">
        <v>2753</v>
      </c>
      <c r="E553" s="2831" t="s">
        <v>2169</v>
      </c>
    </row>
    <row r="554" spans="1:5">
      <c r="A554" s="2831">
        <v>633</v>
      </c>
      <c r="B554" s="2831" t="s">
        <v>2676</v>
      </c>
      <c r="C554" s="2831">
        <v>2066</v>
      </c>
      <c r="D554" s="2831" t="s">
        <v>2754</v>
      </c>
      <c r="E554" s="2831" t="s">
        <v>2166</v>
      </c>
    </row>
    <row r="555" spans="1:5">
      <c r="A555" s="2831">
        <v>633</v>
      </c>
      <c r="B555" s="2831" t="s">
        <v>2676</v>
      </c>
      <c r="C555" s="2831">
        <v>602</v>
      </c>
      <c r="D555" s="2831" t="s">
        <v>2755</v>
      </c>
      <c r="E555" s="2831" t="s">
        <v>2166</v>
      </c>
    </row>
    <row r="556" spans="1:5">
      <c r="A556" s="2831">
        <v>633</v>
      </c>
      <c r="B556" s="2831" t="s">
        <v>2676</v>
      </c>
      <c r="C556" s="2831">
        <v>816</v>
      </c>
      <c r="D556" s="2831" t="s">
        <v>2756</v>
      </c>
      <c r="E556" s="2831" t="s">
        <v>2174</v>
      </c>
    </row>
    <row r="557" spans="1:5">
      <c r="A557" s="2831">
        <v>633</v>
      </c>
      <c r="B557" s="2831" t="s">
        <v>2676</v>
      </c>
      <c r="C557" s="2831">
        <v>4066</v>
      </c>
      <c r="D557" s="2831" t="s">
        <v>2757</v>
      </c>
      <c r="E557" s="2831" t="s">
        <v>2174</v>
      </c>
    </row>
    <row r="558" spans="1:5">
      <c r="A558" s="2831">
        <v>633</v>
      </c>
      <c r="B558" s="2831" t="s">
        <v>2676</v>
      </c>
      <c r="C558" s="2831">
        <v>109</v>
      </c>
      <c r="D558" s="2831" t="s">
        <v>2758</v>
      </c>
      <c r="E558" s="2831" t="s">
        <v>2166</v>
      </c>
    </row>
    <row r="559" spans="1:5">
      <c r="A559" s="2831">
        <v>633</v>
      </c>
      <c r="B559" s="2831" t="s">
        <v>2676</v>
      </c>
      <c r="C559" s="2831">
        <v>280</v>
      </c>
      <c r="D559" s="2831" t="s">
        <v>2759</v>
      </c>
      <c r="E559" s="2831" t="s">
        <v>2174</v>
      </c>
    </row>
    <row r="560" spans="1:5">
      <c r="A560" s="2831">
        <v>633</v>
      </c>
      <c r="B560" s="2831" t="s">
        <v>2676</v>
      </c>
      <c r="C560" s="2831">
        <v>204</v>
      </c>
      <c r="D560" s="2831" t="s">
        <v>2760</v>
      </c>
      <c r="E560" s="2831" t="s">
        <v>2166</v>
      </c>
    </row>
    <row r="561" spans="1:5">
      <c r="A561" s="2831">
        <v>633</v>
      </c>
      <c r="B561" s="2831" t="s">
        <v>2676</v>
      </c>
      <c r="C561" s="2831">
        <v>188</v>
      </c>
      <c r="D561" s="2831" t="s">
        <v>2761</v>
      </c>
      <c r="E561" s="2831" t="s">
        <v>2174</v>
      </c>
    </row>
    <row r="562" spans="1:5">
      <c r="A562" s="2831">
        <v>633</v>
      </c>
      <c r="B562" s="2831" t="s">
        <v>2676</v>
      </c>
      <c r="C562" s="2831">
        <v>489</v>
      </c>
      <c r="D562" s="2831" t="s">
        <v>2762</v>
      </c>
      <c r="E562" s="2831" t="s">
        <v>2166</v>
      </c>
    </row>
    <row r="563" spans="1:5">
      <c r="A563" s="2831">
        <v>633</v>
      </c>
      <c r="B563" s="2831" t="s">
        <v>2676</v>
      </c>
      <c r="C563" s="2831">
        <v>1067</v>
      </c>
      <c r="D563" s="2831" t="s">
        <v>2763</v>
      </c>
      <c r="E563" s="2831" t="s">
        <v>2166</v>
      </c>
    </row>
    <row r="564" spans="1:5">
      <c r="A564" s="2831">
        <v>633</v>
      </c>
      <c r="B564" s="2831" t="s">
        <v>2676</v>
      </c>
      <c r="C564" s="2831">
        <v>307</v>
      </c>
      <c r="D564" s="2831" t="s">
        <v>2764</v>
      </c>
      <c r="E564" s="2831" t="s">
        <v>2166</v>
      </c>
    </row>
    <row r="565" spans="1:5">
      <c r="A565" s="2831">
        <v>633</v>
      </c>
      <c r="B565" s="2831" t="s">
        <v>2676</v>
      </c>
      <c r="C565" s="2831">
        <v>378</v>
      </c>
      <c r="D565" s="2831" t="s">
        <v>2765</v>
      </c>
      <c r="E565" s="2831" t="s">
        <v>2166</v>
      </c>
    </row>
    <row r="566" spans="1:5">
      <c r="A566" s="2831">
        <v>633</v>
      </c>
      <c r="B566" s="2831" t="s">
        <v>2676</v>
      </c>
      <c r="C566" s="2831">
        <v>3067</v>
      </c>
      <c r="D566" s="2831" t="s">
        <v>2766</v>
      </c>
      <c r="E566" s="2831" t="s">
        <v>2166</v>
      </c>
    </row>
    <row r="567" spans="1:5">
      <c r="A567" s="2831">
        <v>633</v>
      </c>
      <c r="B567" s="2831" t="s">
        <v>2676</v>
      </c>
      <c r="C567" s="2831">
        <v>398</v>
      </c>
      <c r="D567" s="2831" t="s">
        <v>2767</v>
      </c>
      <c r="E567" s="2831" t="s">
        <v>2166</v>
      </c>
    </row>
    <row r="568" spans="1:5">
      <c r="A568" s="2831">
        <v>633</v>
      </c>
      <c r="B568" s="2831" t="s">
        <v>2676</v>
      </c>
      <c r="C568" s="2831">
        <v>5067</v>
      </c>
      <c r="D568" s="2831" t="s">
        <v>2768</v>
      </c>
      <c r="E568" s="2831" t="s">
        <v>2169</v>
      </c>
    </row>
    <row r="569" spans="1:5">
      <c r="A569" s="2831">
        <v>633</v>
      </c>
      <c r="B569" s="2831" t="s">
        <v>2676</v>
      </c>
      <c r="C569" s="2831">
        <v>291</v>
      </c>
      <c r="D569" s="2831" t="s">
        <v>2769</v>
      </c>
      <c r="E569" s="2831" t="s">
        <v>2166</v>
      </c>
    </row>
    <row r="570" spans="1:5">
      <c r="A570" s="2831">
        <v>633</v>
      </c>
      <c r="B570" s="2831" t="s">
        <v>2676</v>
      </c>
      <c r="C570" s="2831">
        <v>389</v>
      </c>
      <c r="D570" s="2831" t="s">
        <v>2770</v>
      </c>
      <c r="E570" s="2831" t="s">
        <v>2166</v>
      </c>
    </row>
    <row r="571" spans="1:5">
      <c r="A571" s="2831">
        <v>633</v>
      </c>
      <c r="B571" s="2831" t="s">
        <v>2676</v>
      </c>
      <c r="C571" s="2831">
        <v>294</v>
      </c>
      <c r="D571" s="2831" t="s">
        <v>2771</v>
      </c>
      <c r="E571" s="2831" t="s">
        <v>2174</v>
      </c>
    </row>
    <row r="572" spans="1:5">
      <c r="A572" s="2831">
        <v>633</v>
      </c>
      <c r="B572" s="2831" t="s">
        <v>2676</v>
      </c>
      <c r="C572" s="2831">
        <v>214</v>
      </c>
      <c r="D572" s="2831" t="s">
        <v>2772</v>
      </c>
      <c r="E572" s="2831" t="s">
        <v>2174</v>
      </c>
    </row>
    <row r="573" spans="1:5">
      <c r="A573" s="2831">
        <v>633</v>
      </c>
      <c r="B573" s="2831" t="s">
        <v>2676</v>
      </c>
      <c r="C573" s="2831">
        <v>478</v>
      </c>
      <c r="D573" s="2831" t="s">
        <v>2773</v>
      </c>
      <c r="E573" s="2831" t="s">
        <v>2166</v>
      </c>
    </row>
    <row r="574" spans="1:5">
      <c r="A574" s="2831">
        <v>633</v>
      </c>
      <c r="B574" s="2831" t="s">
        <v>2676</v>
      </c>
      <c r="C574" s="2831">
        <v>3056</v>
      </c>
      <c r="D574" s="2831" t="s">
        <v>2774</v>
      </c>
      <c r="E574" s="2831" t="s">
        <v>2174</v>
      </c>
    </row>
    <row r="575" spans="1:5">
      <c r="A575" s="2831">
        <v>633</v>
      </c>
      <c r="B575" s="2831" t="s">
        <v>2676</v>
      </c>
      <c r="C575" s="2831">
        <v>373</v>
      </c>
      <c r="D575" s="2831" t="s">
        <v>2775</v>
      </c>
      <c r="E575" s="2831" t="s">
        <v>2166</v>
      </c>
    </row>
    <row r="576" spans="1:5">
      <c r="A576" s="2831">
        <v>633</v>
      </c>
      <c r="B576" s="2831" t="s">
        <v>2676</v>
      </c>
      <c r="C576" s="2831">
        <v>180</v>
      </c>
      <c r="D576" s="2831" t="s">
        <v>2776</v>
      </c>
      <c r="E576" s="2831" t="s">
        <v>2166</v>
      </c>
    </row>
    <row r="577" spans="1:5">
      <c r="A577" s="2831">
        <v>633</v>
      </c>
      <c r="B577" s="2831" t="s">
        <v>2676</v>
      </c>
      <c r="C577" s="2831">
        <v>475</v>
      </c>
      <c r="D577" s="2831" t="s">
        <v>2777</v>
      </c>
      <c r="E577" s="2831" t="s">
        <v>2166</v>
      </c>
    </row>
    <row r="578" spans="1:5">
      <c r="A578" s="2831">
        <v>633</v>
      </c>
      <c r="B578" s="2831" t="s">
        <v>2676</v>
      </c>
      <c r="C578" s="2831">
        <v>4068</v>
      </c>
      <c r="D578" s="2831" t="s">
        <v>2778</v>
      </c>
      <c r="E578" s="2831" t="s">
        <v>2166</v>
      </c>
    </row>
    <row r="579" spans="1:5">
      <c r="A579" s="2831">
        <v>633</v>
      </c>
      <c r="B579" s="2831" t="s">
        <v>2676</v>
      </c>
      <c r="C579" s="2831">
        <v>491</v>
      </c>
      <c r="D579" s="2831" t="s">
        <v>2779</v>
      </c>
      <c r="E579" s="2831" t="s">
        <v>2166</v>
      </c>
    </row>
    <row r="580" spans="1:5">
      <c r="A580" s="2831">
        <v>633</v>
      </c>
      <c r="B580" s="2831" t="s">
        <v>2676</v>
      </c>
      <c r="C580" s="2831">
        <v>181</v>
      </c>
      <c r="D580" s="2831" t="s">
        <v>2780</v>
      </c>
      <c r="E580" s="2831" t="s">
        <v>2166</v>
      </c>
    </row>
    <row r="581" spans="1:5">
      <c r="A581" s="2831">
        <v>633</v>
      </c>
      <c r="B581" s="2831" t="s">
        <v>2676</v>
      </c>
      <c r="C581" s="2831">
        <v>191</v>
      </c>
      <c r="D581" s="2831" t="s">
        <v>2781</v>
      </c>
      <c r="E581" s="2831" t="s">
        <v>2174</v>
      </c>
    </row>
    <row r="582" spans="1:5">
      <c r="A582" s="2831">
        <v>633</v>
      </c>
      <c r="B582" s="2831" t="s">
        <v>2676</v>
      </c>
      <c r="C582" s="2831">
        <v>197</v>
      </c>
      <c r="D582" s="2831" t="s">
        <v>2782</v>
      </c>
      <c r="E582" s="2831" t="s">
        <v>2166</v>
      </c>
    </row>
    <row r="583" spans="1:5">
      <c r="A583" s="2831">
        <v>633</v>
      </c>
      <c r="B583" s="2831" t="s">
        <v>2676</v>
      </c>
      <c r="C583" s="2831">
        <v>175</v>
      </c>
      <c r="D583" s="2831" t="s">
        <v>2783</v>
      </c>
      <c r="E583" s="2831" t="s">
        <v>2166</v>
      </c>
    </row>
    <row r="584" spans="1:5">
      <c r="A584" s="2831">
        <v>633</v>
      </c>
      <c r="B584" s="2831" t="s">
        <v>2676</v>
      </c>
      <c r="C584" s="2831">
        <v>1069</v>
      </c>
      <c r="D584" s="2831" t="s">
        <v>2784</v>
      </c>
      <c r="E584" s="2831" t="s">
        <v>2174</v>
      </c>
    </row>
    <row r="585" spans="1:5">
      <c r="A585" s="2831">
        <v>634</v>
      </c>
      <c r="B585" s="2831" t="s">
        <v>2785</v>
      </c>
      <c r="C585" s="2831">
        <v>102</v>
      </c>
      <c r="D585" s="2831" t="s">
        <v>2786</v>
      </c>
      <c r="E585" s="2831" t="s">
        <v>2166</v>
      </c>
    </row>
    <row r="586" spans="1:5">
      <c r="A586" s="2831">
        <v>634</v>
      </c>
      <c r="B586" s="2831" t="s">
        <v>2785</v>
      </c>
      <c r="C586" s="2831">
        <v>191</v>
      </c>
      <c r="D586" s="2831" t="s">
        <v>2787</v>
      </c>
      <c r="E586" s="2831" t="s">
        <v>2174</v>
      </c>
    </row>
    <row r="587" spans="1:5">
      <c r="A587" s="2831">
        <v>634</v>
      </c>
      <c r="B587" s="2831" t="s">
        <v>2785</v>
      </c>
      <c r="C587" s="2831">
        <v>195</v>
      </c>
      <c r="D587" s="2831" t="s">
        <v>2788</v>
      </c>
      <c r="E587" s="2831" t="s">
        <v>2169</v>
      </c>
    </row>
    <row r="588" spans="1:5">
      <c r="A588" s="2831">
        <v>634</v>
      </c>
      <c r="B588" s="2831" t="s">
        <v>2785</v>
      </c>
      <c r="C588" s="2831">
        <v>108</v>
      </c>
      <c r="D588" s="2831" t="s">
        <v>2789</v>
      </c>
      <c r="E588" s="2831" t="s">
        <v>2169</v>
      </c>
    </row>
    <row r="589" spans="1:5">
      <c r="A589" s="2831">
        <v>634</v>
      </c>
      <c r="B589" s="2831" t="s">
        <v>2785</v>
      </c>
      <c r="C589" s="2831">
        <v>282</v>
      </c>
      <c r="D589" s="2831" t="s">
        <v>2790</v>
      </c>
      <c r="E589" s="2831" t="s">
        <v>2169</v>
      </c>
    </row>
    <row r="590" spans="1:5">
      <c r="A590" s="2831">
        <v>634</v>
      </c>
      <c r="B590" s="2831" t="s">
        <v>2785</v>
      </c>
      <c r="C590" s="2831">
        <v>308</v>
      </c>
      <c r="D590" s="2831" t="s">
        <v>2791</v>
      </c>
      <c r="E590" s="2831" t="s">
        <v>2166</v>
      </c>
    </row>
    <row r="591" spans="1:5">
      <c r="A591" s="2831">
        <v>634</v>
      </c>
      <c r="B591" s="2831" t="s">
        <v>2785</v>
      </c>
      <c r="C591" s="2831">
        <v>100</v>
      </c>
      <c r="D591" s="2831" t="s">
        <v>2792</v>
      </c>
      <c r="E591" s="2831" t="s">
        <v>2169</v>
      </c>
    </row>
    <row r="592" spans="1:5">
      <c r="A592" s="2831">
        <v>634</v>
      </c>
      <c r="B592" s="2831" t="s">
        <v>2785</v>
      </c>
      <c r="C592" s="2831">
        <v>291</v>
      </c>
      <c r="D592" s="2831" t="s">
        <v>2793</v>
      </c>
      <c r="E592" s="2831" t="s">
        <v>2169</v>
      </c>
    </row>
    <row r="593" spans="1:5">
      <c r="A593" s="2831">
        <v>634</v>
      </c>
      <c r="B593" s="2831" t="s">
        <v>2785</v>
      </c>
      <c r="C593" s="2831">
        <v>182</v>
      </c>
      <c r="D593" s="2831" t="s">
        <v>2794</v>
      </c>
      <c r="E593" s="2831" t="s">
        <v>2166</v>
      </c>
    </row>
    <row r="594" spans="1:5">
      <c r="A594" s="2831">
        <v>634</v>
      </c>
      <c r="B594" s="2831" t="s">
        <v>2785</v>
      </c>
      <c r="C594" s="2831">
        <v>3052</v>
      </c>
      <c r="D594" s="2831" t="s">
        <v>2795</v>
      </c>
      <c r="E594" s="2831" t="s">
        <v>2169</v>
      </c>
    </row>
    <row r="595" spans="1:5">
      <c r="A595" s="2831">
        <v>634</v>
      </c>
      <c r="B595" s="2831" t="s">
        <v>2785</v>
      </c>
      <c r="C595" s="2831">
        <v>5050</v>
      </c>
      <c r="D595" s="2831" t="s">
        <v>2796</v>
      </c>
      <c r="E595" s="2831" t="s">
        <v>2169</v>
      </c>
    </row>
    <row r="596" spans="1:5">
      <c r="A596" s="2831">
        <v>634</v>
      </c>
      <c r="B596" s="2831" t="s">
        <v>2785</v>
      </c>
      <c r="C596" s="2831">
        <v>114</v>
      </c>
      <c r="D596" s="2831" t="s">
        <v>2797</v>
      </c>
      <c r="E596" s="2831" t="s">
        <v>2174</v>
      </c>
    </row>
    <row r="597" spans="1:5">
      <c r="A597" s="2831">
        <v>635</v>
      </c>
      <c r="B597" s="2831" t="s">
        <v>2798</v>
      </c>
      <c r="C597" s="2831">
        <v>3052</v>
      </c>
      <c r="D597" s="2831" t="s">
        <v>2799</v>
      </c>
      <c r="E597" s="2831" t="s">
        <v>2166</v>
      </c>
    </row>
    <row r="598" spans="1:5">
      <c r="A598" s="2831">
        <v>635</v>
      </c>
      <c r="B598" s="2831" t="s">
        <v>2798</v>
      </c>
      <c r="C598" s="2831">
        <v>1554</v>
      </c>
      <c r="D598" s="2831" t="s">
        <v>2800</v>
      </c>
      <c r="E598" s="2831" t="s">
        <v>2174</v>
      </c>
    </row>
    <row r="599" spans="1:5">
      <c r="A599" s="2831">
        <v>635</v>
      </c>
      <c r="B599" s="2831" t="s">
        <v>2798</v>
      </c>
      <c r="C599" s="2831">
        <v>4050</v>
      </c>
      <c r="D599" s="2831" t="s">
        <v>2801</v>
      </c>
      <c r="E599" s="2831" t="s">
        <v>2174</v>
      </c>
    </row>
    <row r="600" spans="1:5">
      <c r="A600" s="2831">
        <v>635</v>
      </c>
      <c r="B600" s="2831" t="s">
        <v>2798</v>
      </c>
      <c r="C600" s="2831">
        <v>178</v>
      </c>
      <c r="D600" s="2831" t="s">
        <v>2802</v>
      </c>
      <c r="E600" s="2831" t="s">
        <v>2166</v>
      </c>
    </row>
    <row r="601" spans="1:5">
      <c r="A601" s="2831">
        <v>635</v>
      </c>
      <c r="B601" s="2831" t="s">
        <v>2798</v>
      </c>
      <c r="C601" s="2831">
        <v>2052</v>
      </c>
      <c r="D601" s="2831" t="s">
        <v>2803</v>
      </c>
      <c r="E601" s="2831" t="s">
        <v>2174</v>
      </c>
    </row>
    <row r="602" spans="1:5">
      <c r="A602" s="2831">
        <v>635</v>
      </c>
      <c r="B602" s="2831" t="s">
        <v>2798</v>
      </c>
      <c r="C602" s="2831">
        <v>4052</v>
      </c>
      <c r="D602" s="2831" t="s">
        <v>2804</v>
      </c>
      <c r="E602" s="2831" t="s">
        <v>2174</v>
      </c>
    </row>
    <row r="603" spans="1:5">
      <c r="A603" s="2831">
        <v>635</v>
      </c>
      <c r="B603" s="2831" t="s">
        <v>2798</v>
      </c>
      <c r="C603" s="2831">
        <v>278</v>
      </c>
      <c r="D603" s="2831" t="s">
        <v>2805</v>
      </c>
      <c r="E603" s="2831" t="s">
        <v>2174</v>
      </c>
    </row>
    <row r="604" spans="1:5">
      <c r="A604" s="2831">
        <v>635</v>
      </c>
      <c r="B604" s="2831" t="s">
        <v>2798</v>
      </c>
      <c r="C604" s="2831">
        <v>187</v>
      </c>
      <c r="D604" s="2831" t="s">
        <v>2806</v>
      </c>
      <c r="E604" s="2831" t="s">
        <v>2174</v>
      </c>
    </row>
    <row r="605" spans="1:5">
      <c r="A605" s="2831">
        <v>635</v>
      </c>
      <c r="B605" s="2831" t="s">
        <v>2798</v>
      </c>
      <c r="C605" s="2831">
        <v>3054</v>
      </c>
      <c r="D605" s="2831" t="s">
        <v>2807</v>
      </c>
      <c r="E605" s="2831" t="s">
        <v>2166</v>
      </c>
    </row>
    <row r="606" spans="1:5">
      <c r="A606" s="2831">
        <v>635</v>
      </c>
      <c r="B606" s="2831" t="s">
        <v>2798</v>
      </c>
      <c r="C606" s="2831">
        <v>3050</v>
      </c>
      <c r="D606" s="2831" t="s">
        <v>2808</v>
      </c>
      <c r="E606" s="2831" t="s">
        <v>2174</v>
      </c>
    </row>
    <row r="607" spans="1:5">
      <c r="A607" s="2831">
        <v>635</v>
      </c>
      <c r="B607" s="2831" t="s">
        <v>2798</v>
      </c>
      <c r="C607" s="2831">
        <v>5054</v>
      </c>
      <c r="D607" s="2831" t="s">
        <v>2809</v>
      </c>
      <c r="E607" s="2831" t="s">
        <v>2174</v>
      </c>
    </row>
    <row r="608" spans="1:5">
      <c r="A608" s="2831">
        <v>635</v>
      </c>
      <c r="B608" s="2831" t="s">
        <v>2798</v>
      </c>
      <c r="C608" s="2831">
        <v>111</v>
      </c>
      <c r="D608" s="2831" t="s">
        <v>2810</v>
      </c>
      <c r="E608" s="2831" t="s">
        <v>2169</v>
      </c>
    </row>
    <row r="609" spans="1:5">
      <c r="A609" s="2831">
        <v>635</v>
      </c>
      <c r="B609" s="2831" t="s">
        <v>2798</v>
      </c>
      <c r="C609" s="2831">
        <v>2056</v>
      </c>
      <c r="D609" s="2831" t="s">
        <v>2811</v>
      </c>
      <c r="E609" s="2831" t="s">
        <v>2174</v>
      </c>
    </row>
    <row r="610" spans="1:5">
      <c r="A610" s="2831">
        <v>636</v>
      </c>
      <c r="B610" s="2831" t="s">
        <v>2812</v>
      </c>
      <c r="C610" s="2831">
        <v>212</v>
      </c>
      <c r="D610" s="2831" t="s">
        <v>2813</v>
      </c>
      <c r="E610" s="2831" t="s">
        <v>2174</v>
      </c>
    </row>
    <row r="611" spans="1:5">
      <c r="A611" s="2831">
        <v>636</v>
      </c>
      <c r="B611" s="2831" t="s">
        <v>2812</v>
      </c>
      <c r="C611" s="2831">
        <v>188</v>
      </c>
      <c r="D611" s="2831" t="s">
        <v>2814</v>
      </c>
      <c r="E611" s="2831" t="s">
        <v>2174</v>
      </c>
    </row>
    <row r="612" spans="1:5">
      <c r="A612" s="2831">
        <v>636</v>
      </c>
      <c r="B612" s="2831" t="s">
        <v>2812</v>
      </c>
      <c r="C612" s="2831">
        <v>190</v>
      </c>
      <c r="D612" s="2831" t="s">
        <v>2815</v>
      </c>
      <c r="E612" s="2831" t="s">
        <v>2166</v>
      </c>
    </row>
    <row r="613" spans="1:5">
      <c r="A613" s="2831">
        <v>636</v>
      </c>
      <c r="B613" s="2831" t="s">
        <v>2812</v>
      </c>
      <c r="C613" s="2831">
        <v>208</v>
      </c>
      <c r="D613" s="2831" t="s">
        <v>2816</v>
      </c>
      <c r="E613" s="2831" t="s">
        <v>2174</v>
      </c>
    </row>
    <row r="614" spans="1:5">
      <c r="A614" s="2831">
        <v>636</v>
      </c>
      <c r="B614" s="2831" t="s">
        <v>2812</v>
      </c>
      <c r="C614" s="2831">
        <v>2050</v>
      </c>
      <c r="D614" s="2831" t="s">
        <v>2817</v>
      </c>
      <c r="E614" s="2831" t="s">
        <v>2166</v>
      </c>
    </row>
    <row r="615" spans="1:5">
      <c r="A615" s="2831">
        <v>636</v>
      </c>
      <c r="B615" s="2831" t="s">
        <v>2812</v>
      </c>
      <c r="C615" s="2831">
        <v>397</v>
      </c>
      <c r="D615" s="2831" t="s">
        <v>2818</v>
      </c>
      <c r="E615" s="2831" t="s">
        <v>2169</v>
      </c>
    </row>
    <row r="616" spans="1:5">
      <c r="A616" s="2831">
        <v>636</v>
      </c>
      <c r="B616" s="2831" t="s">
        <v>2812</v>
      </c>
      <c r="C616" s="2831">
        <v>186</v>
      </c>
      <c r="D616" s="2831" t="s">
        <v>2819</v>
      </c>
      <c r="E616" s="2831" t="s">
        <v>2174</v>
      </c>
    </row>
    <row r="617" spans="1:5">
      <c r="A617" s="2831">
        <v>636</v>
      </c>
      <c r="B617" s="2831" t="s">
        <v>2812</v>
      </c>
      <c r="C617" s="2831">
        <v>4050</v>
      </c>
      <c r="D617" s="2831" t="s">
        <v>2820</v>
      </c>
      <c r="E617" s="2831" t="s">
        <v>2166</v>
      </c>
    </row>
    <row r="618" spans="1:5">
      <c r="A618" s="2831">
        <v>636</v>
      </c>
      <c r="B618" s="2831" t="s">
        <v>2812</v>
      </c>
      <c r="C618" s="2831">
        <v>107</v>
      </c>
      <c r="D618" s="2831" t="s">
        <v>2821</v>
      </c>
      <c r="E618" s="2831" t="s">
        <v>2166</v>
      </c>
    </row>
    <row r="619" spans="1:5">
      <c r="A619" s="2831">
        <v>636</v>
      </c>
      <c r="B619" s="2831" t="s">
        <v>2812</v>
      </c>
      <c r="C619" s="2831">
        <v>297</v>
      </c>
      <c r="D619" s="2831" t="s">
        <v>2822</v>
      </c>
      <c r="E619" s="2831" t="s">
        <v>2166</v>
      </c>
    </row>
    <row r="620" spans="1:5">
      <c r="A620" s="2831">
        <v>636</v>
      </c>
      <c r="B620" s="2831" t="s">
        <v>2812</v>
      </c>
      <c r="C620" s="2831">
        <v>197</v>
      </c>
      <c r="D620" s="2831" t="s">
        <v>2823</v>
      </c>
      <c r="E620" s="2831" t="s">
        <v>2166</v>
      </c>
    </row>
    <row r="621" spans="1:5">
      <c r="A621" s="2831">
        <v>636</v>
      </c>
      <c r="B621" s="2831" t="s">
        <v>2812</v>
      </c>
      <c r="C621" s="2831">
        <v>101</v>
      </c>
      <c r="D621" s="2831" t="s">
        <v>2824</v>
      </c>
      <c r="E621" s="2831" t="s">
        <v>2166</v>
      </c>
    </row>
    <row r="622" spans="1:5">
      <c r="A622" s="2831">
        <v>636</v>
      </c>
      <c r="B622" s="2831" t="s">
        <v>2812</v>
      </c>
      <c r="C622" s="2831">
        <v>5050</v>
      </c>
      <c r="D622" s="2831" t="s">
        <v>2825</v>
      </c>
      <c r="E622" s="2831" t="s">
        <v>2169</v>
      </c>
    </row>
    <row r="623" spans="1:5">
      <c r="A623" s="2831">
        <v>636</v>
      </c>
      <c r="B623" s="2831" t="s">
        <v>2812</v>
      </c>
      <c r="C623" s="2831">
        <v>112</v>
      </c>
      <c r="D623" s="2831" t="s">
        <v>2826</v>
      </c>
      <c r="E623" s="2831" t="s">
        <v>2169</v>
      </c>
    </row>
    <row r="624" spans="1:5">
      <c r="A624" s="2831">
        <v>636</v>
      </c>
      <c r="B624" s="2831" t="s">
        <v>2812</v>
      </c>
      <c r="C624" s="2831">
        <v>103</v>
      </c>
      <c r="D624" s="2831" t="s">
        <v>2827</v>
      </c>
      <c r="E624" s="2831" t="s">
        <v>2166</v>
      </c>
    </row>
    <row r="625" spans="1:5">
      <c r="A625" s="2831">
        <v>636</v>
      </c>
      <c r="B625" s="2831" t="s">
        <v>2812</v>
      </c>
      <c r="C625" s="2831">
        <v>183</v>
      </c>
      <c r="D625" s="2831" t="s">
        <v>2828</v>
      </c>
      <c r="E625" s="2831" t="s">
        <v>2169</v>
      </c>
    </row>
    <row r="626" spans="1:5">
      <c r="A626" s="2831">
        <v>636</v>
      </c>
      <c r="B626" s="2831" t="s">
        <v>2812</v>
      </c>
      <c r="C626" s="2831">
        <v>283</v>
      </c>
      <c r="D626" s="2831" t="s">
        <v>2829</v>
      </c>
      <c r="E626" s="2831" t="s">
        <v>2169</v>
      </c>
    </row>
    <row r="627" spans="1:5">
      <c r="A627" s="2831">
        <v>636</v>
      </c>
      <c r="B627" s="2831" t="s">
        <v>2812</v>
      </c>
      <c r="C627" s="2831">
        <v>189</v>
      </c>
      <c r="D627" s="2831" t="s">
        <v>2830</v>
      </c>
      <c r="E627" s="2831" t="s">
        <v>2169</v>
      </c>
    </row>
    <row r="628" spans="1:5">
      <c r="A628" s="2831">
        <v>636</v>
      </c>
      <c r="B628" s="2831" t="s">
        <v>2812</v>
      </c>
      <c r="C628" s="2831">
        <v>290</v>
      </c>
      <c r="D628" s="2831" t="s">
        <v>2831</v>
      </c>
      <c r="E628" s="2831" t="s">
        <v>2166</v>
      </c>
    </row>
    <row r="629" spans="1:5">
      <c r="A629" s="2831">
        <v>636</v>
      </c>
      <c r="B629" s="2831" t="s">
        <v>2812</v>
      </c>
      <c r="C629" s="2831">
        <v>102</v>
      </c>
      <c r="D629" s="2831" t="s">
        <v>2832</v>
      </c>
      <c r="E629" s="2831" t="s">
        <v>2174</v>
      </c>
    </row>
    <row r="630" spans="1:5">
      <c r="A630" s="2831">
        <v>636</v>
      </c>
      <c r="B630" s="2831" t="s">
        <v>2812</v>
      </c>
      <c r="C630" s="2831">
        <v>2052</v>
      </c>
      <c r="D630" s="2831" t="s">
        <v>2833</v>
      </c>
      <c r="E630" s="2831" t="s">
        <v>2166</v>
      </c>
    </row>
    <row r="631" spans="1:5">
      <c r="A631" s="2831">
        <v>636</v>
      </c>
      <c r="B631" s="2831" t="s">
        <v>2812</v>
      </c>
      <c r="C631" s="2831">
        <v>3052</v>
      </c>
      <c r="D631" s="2831" t="s">
        <v>2834</v>
      </c>
      <c r="E631" s="2831" t="s">
        <v>2166</v>
      </c>
    </row>
    <row r="632" spans="1:5">
      <c r="A632" s="2831">
        <v>636</v>
      </c>
      <c r="B632" s="2831" t="s">
        <v>2812</v>
      </c>
      <c r="C632" s="2831">
        <v>4052</v>
      </c>
      <c r="D632" s="2831" t="s">
        <v>2835</v>
      </c>
      <c r="E632" s="2831" t="s">
        <v>2169</v>
      </c>
    </row>
    <row r="633" spans="1:5">
      <c r="A633" s="2831">
        <v>636</v>
      </c>
      <c r="B633" s="2831" t="s">
        <v>2812</v>
      </c>
      <c r="C633" s="2831">
        <v>398</v>
      </c>
      <c r="D633" s="2831" t="s">
        <v>2836</v>
      </c>
      <c r="E633" s="2831" t="s">
        <v>2174</v>
      </c>
    </row>
    <row r="634" spans="1:5">
      <c r="A634" s="2831">
        <v>636</v>
      </c>
      <c r="B634" s="2831" t="s">
        <v>2812</v>
      </c>
      <c r="C634" s="2831">
        <v>106</v>
      </c>
      <c r="D634" s="2831" t="s">
        <v>2837</v>
      </c>
      <c r="E634" s="2831" t="s">
        <v>2166</v>
      </c>
    </row>
    <row r="635" spans="1:5">
      <c r="A635" s="2831">
        <v>636</v>
      </c>
      <c r="B635" s="2831" t="s">
        <v>2812</v>
      </c>
      <c r="C635" s="2831">
        <v>194</v>
      </c>
      <c r="D635" s="2831" t="s">
        <v>2764</v>
      </c>
      <c r="E635" s="2831" t="s">
        <v>2166</v>
      </c>
    </row>
    <row r="636" spans="1:5">
      <c r="A636" s="2831">
        <v>636</v>
      </c>
      <c r="B636" s="2831" t="s">
        <v>2812</v>
      </c>
      <c r="C636" s="2831">
        <v>193</v>
      </c>
      <c r="D636" s="2831" t="s">
        <v>2838</v>
      </c>
      <c r="E636" s="2831" t="s">
        <v>2166</v>
      </c>
    </row>
    <row r="637" spans="1:5">
      <c r="A637" s="2831">
        <v>636</v>
      </c>
      <c r="B637" s="2831" t="s">
        <v>2812</v>
      </c>
      <c r="C637" s="2831">
        <v>5052</v>
      </c>
      <c r="D637" s="2831" t="s">
        <v>2839</v>
      </c>
      <c r="E637" s="2831" t="s">
        <v>2166</v>
      </c>
    </row>
    <row r="638" spans="1:5">
      <c r="A638" s="2831">
        <v>636</v>
      </c>
      <c r="B638" s="2831" t="s">
        <v>2812</v>
      </c>
      <c r="C638" s="2831">
        <v>108</v>
      </c>
      <c r="D638" s="2831" t="s">
        <v>2840</v>
      </c>
      <c r="E638" s="2831" t="s">
        <v>2169</v>
      </c>
    </row>
    <row r="639" spans="1:5">
      <c r="A639" s="2831">
        <v>636</v>
      </c>
      <c r="B639" s="2831" t="s">
        <v>2812</v>
      </c>
      <c r="C639" s="2831">
        <v>192</v>
      </c>
      <c r="D639" s="2831" t="s">
        <v>2841</v>
      </c>
      <c r="E639" s="2831" t="s">
        <v>2174</v>
      </c>
    </row>
    <row r="640" spans="1:5">
      <c r="A640" s="2831">
        <v>771</v>
      </c>
      <c r="B640" s="2831" t="s">
        <v>2842</v>
      </c>
      <c r="C640" s="2831">
        <v>1050</v>
      </c>
      <c r="D640" s="2831" t="s">
        <v>2843</v>
      </c>
      <c r="E640" s="2831" t="s">
        <v>2166</v>
      </c>
    </row>
    <row r="641" spans="1:5">
      <c r="A641" s="2831">
        <v>771</v>
      </c>
      <c r="B641" s="2831" t="s">
        <v>2842</v>
      </c>
      <c r="C641" s="2831">
        <v>112</v>
      </c>
      <c r="D641" s="2831" t="s">
        <v>2844</v>
      </c>
      <c r="E641" s="2831" t="s">
        <v>2174</v>
      </c>
    </row>
    <row r="642" spans="1:5">
      <c r="A642" s="2831">
        <v>771</v>
      </c>
      <c r="B642" s="2831" t="s">
        <v>2842</v>
      </c>
      <c r="C642" s="2831">
        <v>105</v>
      </c>
      <c r="D642" s="2831" t="s">
        <v>2845</v>
      </c>
      <c r="E642" s="2831" t="s">
        <v>2174</v>
      </c>
    </row>
    <row r="643" spans="1:5">
      <c r="A643" s="2831">
        <v>771</v>
      </c>
      <c r="B643" s="2831" t="s">
        <v>2842</v>
      </c>
      <c r="C643" s="2831">
        <v>104</v>
      </c>
      <c r="D643" s="2831" t="s">
        <v>2846</v>
      </c>
      <c r="E643" s="2831" t="s">
        <v>2169</v>
      </c>
    </row>
    <row r="644" spans="1:5">
      <c r="A644" s="2831">
        <v>637</v>
      </c>
      <c r="B644" s="2831" t="s">
        <v>2847</v>
      </c>
      <c r="C644" s="2831">
        <v>101</v>
      </c>
      <c r="D644" s="2831" t="s">
        <v>2848</v>
      </c>
      <c r="E644" s="2831" t="s">
        <v>2174</v>
      </c>
    </row>
    <row r="645" spans="1:5">
      <c r="A645" s="2831">
        <v>637</v>
      </c>
      <c r="B645" s="2831" t="s">
        <v>2847</v>
      </c>
      <c r="C645" s="2831">
        <v>104</v>
      </c>
      <c r="D645" s="2831" t="s">
        <v>2849</v>
      </c>
      <c r="E645" s="2831" t="s">
        <v>2174</v>
      </c>
    </row>
    <row r="646" spans="1:5">
      <c r="A646" s="2831">
        <v>637</v>
      </c>
      <c r="B646" s="2831" t="s">
        <v>2847</v>
      </c>
      <c r="C646" s="2831">
        <v>111</v>
      </c>
      <c r="D646" s="2831" t="s">
        <v>2850</v>
      </c>
      <c r="E646" s="2831" t="s">
        <v>2174</v>
      </c>
    </row>
    <row r="647" spans="1:5">
      <c r="A647" s="2831">
        <v>637</v>
      </c>
      <c r="B647" s="2831" t="s">
        <v>2847</v>
      </c>
      <c r="C647" s="2831">
        <v>196</v>
      </c>
      <c r="D647" s="2831" t="s">
        <v>2851</v>
      </c>
      <c r="E647" s="2831" t="s">
        <v>2169</v>
      </c>
    </row>
    <row r="648" spans="1:5">
      <c r="A648" s="2831">
        <v>638</v>
      </c>
      <c r="B648" s="2831" t="s">
        <v>2852</v>
      </c>
      <c r="C648" s="2831">
        <v>101</v>
      </c>
      <c r="D648" s="2831" t="s">
        <v>2853</v>
      </c>
      <c r="E648" s="2831" t="s">
        <v>2174</v>
      </c>
    </row>
    <row r="649" spans="1:5">
      <c r="A649" s="2831">
        <v>638</v>
      </c>
      <c r="B649" s="2831" t="s">
        <v>2852</v>
      </c>
      <c r="C649" s="2831">
        <v>395</v>
      </c>
      <c r="D649" s="2831" t="s">
        <v>2854</v>
      </c>
      <c r="E649" s="2831" t="s">
        <v>2166</v>
      </c>
    </row>
    <row r="650" spans="1:5">
      <c r="A650" s="2831">
        <v>638</v>
      </c>
      <c r="B650" s="2831" t="s">
        <v>2852</v>
      </c>
      <c r="C650" s="2831">
        <v>1050</v>
      </c>
      <c r="D650" s="2831" t="s">
        <v>2855</v>
      </c>
      <c r="E650" s="2831" t="s">
        <v>2169</v>
      </c>
    </row>
    <row r="651" spans="1:5">
      <c r="A651" s="2831">
        <v>638</v>
      </c>
      <c r="B651" s="2831" t="s">
        <v>2852</v>
      </c>
      <c r="C651" s="2831">
        <v>2050</v>
      </c>
      <c r="D651" s="2831" t="s">
        <v>2375</v>
      </c>
      <c r="E651" s="2831" t="s">
        <v>2169</v>
      </c>
    </row>
    <row r="652" spans="1:5">
      <c r="A652" s="2831">
        <v>638</v>
      </c>
      <c r="B652" s="2831" t="s">
        <v>2852</v>
      </c>
      <c r="C652" s="2831">
        <v>490</v>
      </c>
      <c r="D652" s="2831" t="s">
        <v>2856</v>
      </c>
      <c r="E652" s="2831" t="s">
        <v>2166</v>
      </c>
    </row>
    <row r="653" spans="1:5">
      <c r="A653" s="2831">
        <v>638</v>
      </c>
      <c r="B653" s="2831" t="s">
        <v>2852</v>
      </c>
      <c r="C653" s="2831">
        <v>115</v>
      </c>
      <c r="D653" s="2831" t="s">
        <v>2857</v>
      </c>
      <c r="E653" s="2831" t="s">
        <v>2166</v>
      </c>
    </row>
    <row r="654" spans="1:5">
      <c r="A654" s="2831">
        <v>638</v>
      </c>
      <c r="B654" s="2831" t="s">
        <v>2852</v>
      </c>
      <c r="C654" s="2831">
        <v>191</v>
      </c>
      <c r="D654" s="2831" t="s">
        <v>2858</v>
      </c>
      <c r="E654" s="2831" t="s">
        <v>2174</v>
      </c>
    </row>
    <row r="655" spans="1:5">
      <c r="A655" s="2831">
        <v>638</v>
      </c>
      <c r="B655" s="2831" t="s">
        <v>2852</v>
      </c>
      <c r="C655" s="2831">
        <v>389</v>
      </c>
      <c r="D655" s="2831" t="s">
        <v>2859</v>
      </c>
      <c r="E655" s="2831" t="s">
        <v>2166</v>
      </c>
    </row>
    <row r="656" spans="1:5">
      <c r="A656" s="2831">
        <v>638</v>
      </c>
      <c r="B656" s="2831" t="s">
        <v>2852</v>
      </c>
      <c r="C656" s="2831">
        <v>289</v>
      </c>
      <c r="D656" s="2831" t="s">
        <v>2860</v>
      </c>
      <c r="E656" s="2831" t="s">
        <v>2169</v>
      </c>
    </row>
    <row r="657" spans="1:5">
      <c r="A657" s="2831">
        <v>638</v>
      </c>
      <c r="B657" s="2831" t="s">
        <v>2852</v>
      </c>
      <c r="C657" s="2831">
        <v>2052</v>
      </c>
      <c r="D657" s="2831" t="s">
        <v>2790</v>
      </c>
      <c r="E657" s="2831" t="s">
        <v>2169</v>
      </c>
    </row>
    <row r="658" spans="1:5">
      <c r="A658" s="2831">
        <v>638</v>
      </c>
      <c r="B658" s="2831" t="s">
        <v>2852</v>
      </c>
      <c r="C658" s="2831">
        <v>3052</v>
      </c>
      <c r="D658" s="2831" t="s">
        <v>2861</v>
      </c>
      <c r="E658" s="2831" t="s">
        <v>2174</v>
      </c>
    </row>
    <row r="659" spans="1:5">
      <c r="A659" s="2831">
        <v>638</v>
      </c>
      <c r="B659" s="2831" t="s">
        <v>2852</v>
      </c>
      <c r="C659" s="2831">
        <v>1056</v>
      </c>
      <c r="D659" s="2831" t="s">
        <v>2821</v>
      </c>
      <c r="E659" s="2831" t="s">
        <v>2169</v>
      </c>
    </row>
    <row r="660" spans="1:5">
      <c r="A660" s="2831">
        <v>638</v>
      </c>
      <c r="B660" s="2831" t="s">
        <v>2852</v>
      </c>
      <c r="C660" s="2831">
        <v>203</v>
      </c>
      <c r="D660" s="2831" t="s">
        <v>2862</v>
      </c>
      <c r="E660" s="2831" t="s">
        <v>2166</v>
      </c>
    </row>
    <row r="661" spans="1:5">
      <c r="A661" s="2831">
        <v>638</v>
      </c>
      <c r="B661" s="2831" t="s">
        <v>2852</v>
      </c>
      <c r="C661" s="2831">
        <v>195</v>
      </c>
      <c r="D661" s="2831" t="s">
        <v>2863</v>
      </c>
      <c r="E661" s="2831" t="s">
        <v>2169</v>
      </c>
    </row>
    <row r="662" spans="1:5">
      <c r="A662" s="2831">
        <v>638</v>
      </c>
      <c r="B662" s="2831" t="s">
        <v>2852</v>
      </c>
      <c r="C662" s="2831">
        <v>106</v>
      </c>
      <c r="D662" s="2831" t="s">
        <v>2864</v>
      </c>
      <c r="E662" s="2831" t="s">
        <v>2166</v>
      </c>
    </row>
    <row r="663" spans="1:5">
      <c r="A663" s="2831">
        <v>638</v>
      </c>
      <c r="B663" s="2831" t="s">
        <v>2852</v>
      </c>
      <c r="C663" s="2831">
        <v>299</v>
      </c>
      <c r="D663" s="2831" t="s">
        <v>2865</v>
      </c>
      <c r="E663" s="2831" t="s">
        <v>2166</v>
      </c>
    </row>
    <row r="664" spans="1:5">
      <c r="A664" s="2831">
        <v>638</v>
      </c>
      <c r="B664" s="2831" t="s">
        <v>2852</v>
      </c>
      <c r="C664" s="2831">
        <v>3054</v>
      </c>
      <c r="D664" s="2831" t="s">
        <v>2866</v>
      </c>
      <c r="E664" s="2831" t="s">
        <v>2174</v>
      </c>
    </row>
    <row r="665" spans="1:5">
      <c r="A665" s="2831">
        <v>638</v>
      </c>
      <c r="B665" s="2831" t="s">
        <v>2852</v>
      </c>
      <c r="C665" s="2831">
        <v>192</v>
      </c>
      <c r="D665" s="2831" t="s">
        <v>2867</v>
      </c>
      <c r="E665" s="2831" t="s">
        <v>2169</v>
      </c>
    </row>
    <row r="666" spans="1:5">
      <c r="A666" s="2831">
        <v>638</v>
      </c>
      <c r="B666" s="2831" t="s">
        <v>2852</v>
      </c>
      <c r="C666" s="2831">
        <v>5054</v>
      </c>
      <c r="D666" s="2831" t="s">
        <v>2868</v>
      </c>
      <c r="E666" s="2831" t="s">
        <v>2166</v>
      </c>
    </row>
    <row r="667" spans="1:5">
      <c r="A667" s="2831">
        <v>638</v>
      </c>
      <c r="B667" s="2831" t="s">
        <v>2852</v>
      </c>
      <c r="C667" s="2831">
        <v>196</v>
      </c>
      <c r="D667" s="2831" t="s">
        <v>2869</v>
      </c>
      <c r="E667" s="2831" t="s">
        <v>2166</v>
      </c>
    </row>
    <row r="668" spans="1:5">
      <c r="A668" s="2831">
        <v>638</v>
      </c>
      <c r="B668" s="2831" t="s">
        <v>2852</v>
      </c>
      <c r="C668" s="2831">
        <v>2056</v>
      </c>
      <c r="D668" s="2831" t="s">
        <v>2870</v>
      </c>
      <c r="E668" s="2831" t="s">
        <v>2169</v>
      </c>
    </row>
    <row r="669" spans="1:5">
      <c r="A669" s="2831">
        <v>638</v>
      </c>
      <c r="B669" s="2831" t="s">
        <v>2852</v>
      </c>
      <c r="C669" s="2831">
        <v>199</v>
      </c>
      <c r="D669" s="2831" t="s">
        <v>2871</v>
      </c>
      <c r="E669" s="2831" t="s">
        <v>2169</v>
      </c>
    </row>
    <row r="670" spans="1:5">
      <c r="A670" s="2831">
        <v>638</v>
      </c>
      <c r="B670" s="2831" t="s">
        <v>2852</v>
      </c>
      <c r="C670" s="2831">
        <v>1054</v>
      </c>
      <c r="D670" s="2831" t="s">
        <v>2872</v>
      </c>
      <c r="E670" s="2831" t="s">
        <v>2169</v>
      </c>
    </row>
    <row r="671" spans="1:5">
      <c r="A671" s="2831">
        <v>638</v>
      </c>
      <c r="B671" s="2831" t="s">
        <v>2852</v>
      </c>
      <c r="C671" s="2831">
        <v>301</v>
      </c>
      <c r="D671" s="2831" t="s">
        <v>2873</v>
      </c>
      <c r="E671" s="2831" t="s">
        <v>2169</v>
      </c>
    </row>
    <row r="672" spans="1:5">
      <c r="A672" s="2831">
        <v>638</v>
      </c>
      <c r="B672" s="2831" t="s">
        <v>2852</v>
      </c>
      <c r="C672" s="2831">
        <v>295</v>
      </c>
      <c r="D672" s="2831" t="s">
        <v>2874</v>
      </c>
      <c r="E672" s="2831" t="s">
        <v>2166</v>
      </c>
    </row>
    <row r="673" spans="1:5">
      <c r="A673" s="2831">
        <v>638</v>
      </c>
      <c r="B673" s="2831" t="s">
        <v>2852</v>
      </c>
      <c r="C673" s="2831">
        <v>201</v>
      </c>
      <c r="D673" s="2831" t="s">
        <v>2875</v>
      </c>
      <c r="E673" s="2831" t="s">
        <v>2169</v>
      </c>
    </row>
    <row r="674" spans="1:5">
      <c r="A674" s="2831">
        <v>638</v>
      </c>
      <c r="B674" s="2831" t="s">
        <v>2852</v>
      </c>
      <c r="C674" s="2831">
        <v>5056</v>
      </c>
      <c r="D674" s="2831" t="s">
        <v>2876</v>
      </c>
      <c r="E674" s="2831" t="s">
        <v>2174</v>
      </c>
    </row>
    <row r="675" spans="1:5">
      <c r="A675" s="2831">
        <v>638</v>
      </c>
      <c r="B675" s="2831" t="s">
        <v>2852</v>
      </c>
      <c r="C675" s="2831">
        <v>189</v>
      </c>
      <c r="D675" s="2831" t="s">
        <v>2877</v>
      </c>
      <c r="E675" s="2831" t="s">
        <v>2169</v>
      </c>
    </row>
    <row r="676" spans="1:5">
      <c r="A676" s="2831">
        <v>638</v>
      </c>
      <c r="B676" s="2831" t="s">
        <v>2852</v>
      </c>
      <c r="C676" s="2831">
        <v>103</v>
      </c>
      <c r="D676" s="2831" t="s">
        <v>2878</v>
      </c>
      <c r="E676" s="2831" t="s">
        <v>2169</v>
      </c>
    </row>
    <row r="677" spans="1:5">
      <c r="A677" s="2831">
        <v>639</v>
      </c>
      <c r="B677" s="2831" t="s">
        <v>2879</v>
      </c>
      <c r="C677" s="2831">
        <v>192</v>
      </c>
      <c r="D677" s="2831" t="s">
        <v>2880</v>
      </c>
      <c r="E677" s="2831" t="s">
        <v>2169</v>
      </c>
    </row>
    <row r="678" spans="1:5">
      <c r="A678" s="2831">
        <v>639</v>
      </c>
      <c r="B678" s="2831" t="s">
        <v>2879</v>
      </c>
      <c r="C678" s="2831">
        <v>193</v>
      </c>
      <c r="D678" s="2831" t="s">
        <v>2881</v>
      </c>
      <c r="E678" s="2831" t="s">
        <v>2166</v>
      </c>
    </row>
    <row r="679" spans="1:5">
      <c r="A679" s="2831">
        <v>639</v>
      </c>
      <c r="B679" s="2831" t="s">
        <v>2879</v>
      </c>
      <c r="C679" s="2831">
        <v>202</v>
      </c>
      <c r="D679" s="2831" t="s">
        <v>2882</v>
      </c>
      <c r="E679" s="2831" t="s">
        <v>2169</v>
      </c>
    </row>
    <row r="680" spans="1:5">
      <c r="A680" s="2831">
        <v>639</v>
      </c>
      <c r="B680" s="2831" t="s">
        <v>2879</v>
      </c>
      <c r="C680" s="2831">
        <v>203</v>
      </c>
      <c r="D680" s="2831" t="s">
        <v>2883</v>
      </c>
      <c r="E680" s="2831" t="s">
        <v>2169</v>
      </c>
    </row>
    <row r="681" spans="1:5">
      <c r="A681" s="2831">
        <v>640</v>
      </c>
      <c r="B681" s="2831" t="s">
        <v>2884</v>
      </c>
      <c r="C681" s="2831">
        <v>2052</v>
      </c>
      <c r="D681" s="2831" t="s">
        <v>2885</v>
      </c>
      <c r="E681" s="2831" t="s">
        <v>2166</v>
      </c>
    </row>
    <row r="682" spans="1:5">
      <c r="A682" s="2831">
        <v>640</v>
      </c>
      <c r="B682" s="2831" t="s">
        <v>2884</v>
      </c>
      <c r="C682" s="2831">
        <v>196</v>
      </c>
      <c r="D682" s="2831" t="s">
        <v>2886</v>
      </c>
      <c r="E682" s="2831" t="s">
        <v>2169</v>
      </c>
    </row>
    <row r="683" spans="1:5">
      <c r="A683" s="2831">
        <v>640</v>
      </c>
      <c r="B683" s="2831" t="s">
        <v>2884</v>
      </c>
      <c r="C683" s="2831">
        <v>197</v>
      </c>
      <c r="D683" s="2831" t="s">
        <v>2887</v>
      </c>
      <c r="E683" s="2831" t="s">
        <v>2169</v>
      </c>
    </row>
    <row r="684" spans="1:5">
      <c r="A684" s="2831">
        <v>640</v>
      </c>
      <c r="B684" s="2831" t="s">
        <v>2884</v>
      </c>
      <c r="C684" s="2831">
        <v>115</v>
      </c>
      <c r="D684" s="2831" t="s">
        <v>2888</v>
      </c>
      <c r="E684" s="2831" t="s">
        <v>2169</v>
      </c>
    </row>
    <row r="685" spans="1:5">
      <c r="A685" s="2831">
        <v>641</v>
      </c>
      <c r="B685" s="2831" t="s">
        <v>2889</v>
      </c>
      <c r="C685" s="2831">
        <v>195</v>
      </c>
      <c r="D685" s="2831" t="s">
        <v>2890</v>
      </c>
      <c r="E685" s="2831" t="s">
        <v>2169</v>
      </c>
    </row>
    <row r="686" spans="1:5">
      <c r="A686" s="2831">
        <v>641</v>
      </c>
      <c r="B686" s="2831" t="s">
        <v>2889</v>
      </c>
      <c r="C686" s="2831">
        <v>101</v>
      </c>
      <c r="D686" s="2831" t="s">
        <v>2891</v>
      </c>
      <c r="E686" s="2831" t="s">
        <v>2169</v>
      </c>
    </row>
    <row r="687" spans="1:5">
      <c r="A687" s="2831">
        <v>641</v>
      </c>
      <c r="B687" s="2831" t="s">
        <v>2889</v>
      </c>
      <c r="C687" s="2831">
        <v>295</v>
      </c>
      <c r="D687" s="2831" t="s">
        <v>2892</v>
      </c>
      <c r="E687" s="2831" t="s">
        <v>2169</v>
      </c>
    </row>
    <row r="688" spans="1:5">
      <c r="A688" s="2831">
        <v>641</v>
      </c>
      <c r="B688" s="2831" t="s">
        <v>2889</v>
      </c>
      <c r="C688" s="2831">
        <v>275</v>
      </c>
      <c r="D688" s="2831" t="s">
        <v>2705</v>
      </c>
      <c r="E688" s="2831" t="s">
        <v>2174</v>
      </c>
    </row>
    <row r="689" spans="1:5">
      <c r="A689" s="2831">
        <v>772</v>
      </c>
      <c r="B689" s="2831" t="s">
        <v>2893</v>
      </c>
      <c r="C689" s="2831">
        <v>105</v>
      </c>
      <c r="D689" s="2831" t="s">
        <v>2814</v>
      </c>
      <c r="E689" s="2831" t="s">
        <v>2169</v>
      </c>
    </row>
    <row r="690" spans="1:5">
      <c r="A690" s="2831">
        <v>772</v>
      </c>
      <c r="B690" s="2831" t="s">
        <v>2893</v>
      </c>
      <c r="C690" s="2831">
        <v>1050</v>
      </c>
      <c r="D690" s="2831" t="s">
        <v>2815</v>
      </c>
      <c r="E690" s="2831" t="s">
        <v>2169</v>
      </c>
    </row>
    <row r="691" spans="1:5">
      <c r="A691" s="2831">
        <v>772</v>
      </c>
      <c r="B691" s="2831" t="s">
        <v>2893</v>
      </c>
      <c r="C691" s="2831">
        <v>301</v>
      </c>
      <c r="D691" s="2831" t="s">
        <v>2894</v>
      </c>
      <c r="E691" s="2831" t="s">
        <v>2174</v>
      </c>
    </row>
    <row r="692" spans="1:5">
      <c r="A692" s="2831">
        <v>772</v>
      </c>
      <c r="B692" s="2831" t="s">
        <v>2893</v>
      </c>
      <c r="C692" s="2831">
        <v>4050</v>
      </c>
      <c r="D692" s="2831" t="s">
        <v>2895</v>
      </c>
      <c r="E692" s="2831" t="s">
        <v>2166</v>
      </c>
    </row>
    <row r="693" spans="1:5">
      <c r="A693" s="2831">
        <v>772</v>
      </c>
      <c r="B693" s="2831" t="s">
        <v>2893</v>
      </c>
      <c r="C693" s="2831">
        <v>379</v>
      </c>
      <c r="D693" s="2831" t="s">
        <v>2896</v>
      </c>
      <c r="E693" s="2831" t="s">
        <v>2166</v>
      </c>
    </row>
    <row r="694" spans="1:5">
      <c r="A694" s="2831">
        <v>772</v>
      </c>
      <c r="B694" s="2831" t="s">
        <v>2893</v>
      </c>
      <c r="C694" s="2831">
        <v>377</v>
      </c>
      <c r="D694" s="2831" t="s">
        <v>2897</v>
      </c>
      <c r="E694" s="2831" t="s">
        <v>2174</v>
      </c>
    </row>
    <row r="695" spans="1:5">
      <c r="A695" s="2831">
        <v>772</v>
      </c>
      <c r="B695" s="2831" t="s">
        <v>2893</v>
      </c>
      <c r="C695" s="2831">
        <v>101</v>
      </c>
      <c r="D695" s="2831" t="s">
        <v>2898</v>
      </c>
      <c r="E695" s="2831" t="s">
        <v>2174</v>
      </c>
    </row>
    <row r="696" spans="1:5">
      <c r="A696" s="2831">
        <v>772</v>
      </c>
      <c r="B696" s="2831" t="s">
        <v>2893</v>
      </c>
      <c r="C696" s="2831">
        <v>1052</v>
      </c>
      <c r="D696" s="2831" t="s">
        <v>2899</v>
      </c>
      <c r="E696" s="2831" t="s">
        <v>2166</v>
      </c>
    </row>
    <row r="697" spans="1:5">
      <c r="A697" s="2831">
        <v>772</v>
      </c>
      <c r="B697" s="2831" t="s">
        <v>2893</v>
      </c>
      <c r="C697" s="2831">
        <v>378</v>
      </c>
      <c r="D697" s="2831" t="s">
        <v>2900</v>
      </c>
      <c r="E697" s="2831" t="s">
        <v>2166</v>
      </c>
    </row>
    <row r="698" spans="1:5">
      <c r="A698" s="2831">
        <v>772</v>
      </c>
      <c r="B698" s="2831" t="s">
        <v>2893</v>
      </c>
      <c r="C698" s="2831">
        <v>173</v>
      </c>
      <c r="D698" s="2831" t="s">
        <v>2901</v>
      </c>
      <c r="E698" s="2831" t="s">
        <v>2174</v>
      </c>
    </row>
    <row r="699" spans="1:5">
      <c r="A699" s="2831">
        <v>642</v>
      </c>
      <c r="B699" s="2831" t="s">
        <v>2902</v>
      </c>
      <c r="C699" s="2831">
        <v>199</v>
      </c>
      <c r="D699" s="2831" t="s">
        <v>2903</v>
      </c>
      <c r="E699" s="2831" t="s">
        <v>2166</v>
      </c>
    </row>
    <row r="700" spans="1:5">
      <c r="A700" s="2831">
        <v>642</v>
      </c>
      <c r="B700" s="2831" t="s">
        <v>2902</v>
      </c>
      <c r="C700" s="2831">
        <v>198</v>
      </c>
      <c r="D700" s="2831" t="s">
        <v>2904</v>
      </c>
      <c r="E700" s="2831" t="s">
        <v>2166</v>
      </c>
    </row>
    <row r="701" spans="1:5">
      <c r="A701" s="2831">
        <v>642</v>
      </c>
      <c r="B701" s="2831" t="s">
        <v>2902</v>
      </c>
      <c r="C701" s="2831">
        <v>109</v>
      </c>
      <c r="D701" s="2831" t="s">
        <v>2905</v>
      </c>
      <c r="E701" s="2831" t="s">
        <v>2166</v>
      </c>
    </row>
    <row r="702" spans="1:5">
      <c r="A702" s="2831">
        <v>642</v>
      </c>
      <c r="B702" s="2831" t="s">
        <v>2902</v>
      </c>
      <c r="C702" s="2831">
        <v>106</v>
      </c>
      <c r="D702" s="2831" t="s">
        <v>2906</v>
      </c>
      <c r="E702" s="2831" t="s">
        <v>2169</v>
      </c>
    </row>
    <row r="703" spans="1:5">
      <c r="A703" s="2831">
        <v>642</v>
      </c>
      <c r="B703" s="2831" t="s">
        <v>2902</v>
      </c>
      <c r="C703" s="2831">
        <v>103</v>
      </c>
      <c r="D703" s="2831" t="s">
        <v>2907</v>
      </c>
      <c r="E703" s="2831" t="s">
        <v>2169</v>
      </c>
    </row>
    <row r="704" spans="1:5">
      <c r="A704" s="2831">
        <v>642</v>
      </c>
      <c r="B704" s="2831" t="s">
        <v>2902</v>
      </c>
      <c r="C704" s="2831">
        <v>111</v>
      </c>
      <c r="D704" s="2831" t="s">
        <v>2908</v>
      </c>
      <c r="E704" s="2831" t="s">
        <v>2166</v>
      </c>
    </row>
    <row r="705" spans="1:5">
      <c r="A705" s="2831">
        <v>642</v>
      </c>
      <c r="B705" s="2831" t="s">
        <v>2902</v>
      </c>
      <c r="C705" s="2831">
        <v>189</v>
      </c>
      <c r="D705" s="2831" t="s">
        <v>2909</v>
      </c>
      <c r="E705" s="2831" t="s">
        <v>2174</v>
      </c>
    </row>
    <row r="706" spans="1:5">
      <c r="A706" s="2831">
        <v>644</v>
      </c>
      <c r="B706" s="2831" t="s">
        <v>2910</v>
      </c>
      <c r="C706" s="2831">
        <v>2050</v>
      </c>
      <c r="D706" s="2831" t="s">
        <v>2911</v>
      </c>
      <c r="E706" s="2831" t="s">
        <v>2174</v>
      </c>
    </row>
    <row r="707" spans="1:5" ht="25.5">
      <c r="A707" s="2831">
        <v>644</v>
      </c>
      <c r="B707" s="2831" t="s">
        <v>2910</v>
      </c>
      <c r="C707" s="2831">
        <v>610</v>
      </c>
      <c r="D707" s="2831" t="s">
        <v>2912</v>
      </c>
      <c r="E707" s="2831" t="s">
        <v>2169</v>
      </c>
    </row>
    <row r="708" spans="1:5">
      <c r="A708" s="2831">
        <v>644</v>
      </c>
      <c r="B708" s="2831" t="s">
        <v>2910</v>
      </c>
      <c r="C708" s="2831">
        <v>3050</v>
      </c>
      <c r="D708" s="2831" t="s">
        <v>2913</v>
      </c>
      <c r="E708" s="2831" t="s">
        <v>2166</v>
      </c>
    </row>
    <row r="709" spans="1:5">
      <c r="A709" s="2831">
        <v>644</v>
      </c>
      <c r="B709" s="2831" t="s">
        <v>2910</v>
      </c>
      <c r="C709" s="2831">
        <v>175</v>
      </c>
      <c r="D709" s="2831" t="s">
        <v>2914</v>
      </c>
      <c r="E709" s="2831" t="s">
        <v>2166</v>
      </c>
    </row>
    <row r="710" spans="1:5">
      <c r="A710" s="2831">
        <v>644</v>
      </c>
      <c r="B710" s="2831" t="s">
        <v>2910</v>
      </c>
      <c r="C710" s="2831">
        <v>5050</v>
      </c>
      <c r="D710" s="2831" t="s">
        <v>2915</v>
      </c>
      <c r="E710" s="2831" t="s">
        <v>2166</v>
      </c>
    </row>
    <row r="711" spans="1:5">
      <c r="A711" s="2831">
        <v>644</v>
      </c>
      <c r="B711" s="2831" t="s">
        <v>2910</v>
      </c>
      <c r="C711" s="2831">
        <v>1103</v>
      </c>
      <c r="D711" s="2831" t="s">
        <v>2916</v>
      </c>
      <c r="E711" s="2831" t="s">
        <v>2174</v>
      </c>
    </row>
    <row r="712" spans="1:5">
      <c r="A712" s="2831">
        <v>644</v>
      </c>
      <c r="B712" s="2831" t="s">
        <v>2910</v>
      </c>
      <c r="C712" s="2831">
        <v>475</v>
      </c>
      <c r="D712" s="2831" t="s">
        <v>2917</v>
      </c>
      <c r="E712" s="2831" t="s">
        <v>2174</v>
      </c>
    </row>
    <row r="713" spans="1:5">
      <c r="A713" s="2831">
        <v>644</v>
      </c>
      <c r="B713" s="2831" t="s">
        <v>2910</v>
      </c>
      <c r="C713" s="2831">
        <v>4051</v>
      </c>
      <c r="D713" s="2831" t="s">
        <v>2918</v>
      </c>
      <c r="E713" s="2831" t="s">
        <v>2166</v>
      </c>
    </row>
    <row r="714" spans="1:5">
      <c r="A714" s="2831">
        <v>644</v>
      </c>
      <c r="B714" s="2831" t="s">
        <v>2910</v>
      </c>
      <c r="C714" s="2831">
        <v>3051</v>
      </c>
      <c r="D714" s="2831" t="s">
        <v>2919</v>
      </c>
      <c r="E714" s="2831" t="s">
        <v>2166</v>
      </c>
    </row>
    <row r="715" spans="1:5">
      <c r="A715" s="2831">
        <v>644</v>
      </c>
      <c r="B715" s="2831" t="s">
        <v>2910</v>
      </c>
      <c r="C715" s="2831">
        <v>1052</v>
      </c>
      <c r="D715" s="2831" t="s">
        <v>2920</v>
      </c>
      <c r="E715" s="2831" t="s">
        <v>2166</v>
      </c>
    </row>
    <row r="716" spans="1:5">
      <c r="A716" s="2831">
        <v>644</v>
      </c>
      <c r="B716" s="2831" t="s">
        <v>2910</v>
      </c>
      <c r="C716" s="2831">
        <v>191</v>
      </c>
      <c r="D716" s="2831" t="s">
        <v>2921</v>
      </c>
      <c r="E716" s="2831" t="s">
        <v>2166</v>
      </c>
    </row>
    <row r="717" spans="1:5">
      <c r="A717" s="2831">
        <v>644</v>
      </c>
      <c r="B717" s="2831" t="s">
        <v>2910</v>
      </c>
      <c r="C717" s="2831">
        <v>3052</v>
      </c>
      <c r="D717" s="2831" t="s">
        <v>2922</v>
      </c>
      <c r="E717" s="2831" t="s">
        <v>2166</v>
      </c>
    </row>
    <row r="718" spans="1:5">
      <c r="A718" s="2831">
        <v>644</v>
      </c>
      <c r="B718" s="2831" t="s">
        <v>2910</v>
      </c>
      <c r="C718" s="2831">
        <v>2065</v>
      </c>
      <c r="D718" s="2831" t="s">
        <v>2923</v>
      </c>
      <c r="E718" s="2831" t="s">
        <v>2166</v>
      </c>
    </row>
    <row r="719" spans="1:5">
      <c r="A719" s="2831">
        <v>644</v>
      </c>
      <c r="B719" s="2831" t="s">
        <v>2910</v>
      </c>
      <c r="C719" s="2831">
        <v>275</v>
      </c>
      <c r="D719" s="2831" t="s">
        <v>2924</v>
      </c>
      <c r="E719" s="2831" t="s">
        <v>2174</v>
      </c>
    </row>
    <row r="720" spans="1:5">
      <c r="A720" s="2831">
        <v>644</v>
      </c>
      <c r="B720" s="2831" t="s">
        <v>2910</v>
      </c>
      <c r="C720" s="2831">
        <v>172</v>
      </c>
      <c r="D720" s="2831" t="s">
        <v>2925</v>
      </c>
      <c r="E720" s="2831" t="s">
        <v>2169</v>
      </c>
    </row>
    <row r="721" spans="1:5">
      <c r="A721" s="2831">
        <v>644</v>
      </c>
      <c r="B721" s="2831" t="s">
        <v>2910</v>
      </c>
      <c r="C721" s="2831">
        <v>200</v>
      </c>
      <c r="D721" s="2831" t="s">
        <v>2926</v>
      </c>
      <c r="E721" s="2831" t="s">
        <v>2169</v>
      </c>
    </row>
    <row r="722" spans="1:5">
      <c r="A722" s="2831">
        <v>644</v>
      </c>
      <c r="B722" s="2831" t="s">
        <v>2910</v>
      </c>
      <c r="C722" s="2831">
        <v>5052</v>
      </c>
      <c r="D722" s="2831" t="s">
        <v>2927</v>
      </c>
      <c r="E722" s="2831" t="s">
        <v>2169</v>
      </c>
    </row>
    <row r="723" spans="1:5">
      <c r="A723" s="2831">
        <v>644</v>
      </c>
      <c r="B723" s="2831" t="s">
        <v>2910</v>
      </c>
      <c r="C723" s="2831">
        <v>406</v>
      </c>
      <c r="D723" s="2831" t="s">
        <v>2928</v>
      </c>
      <c r="E723" s="2831" t="s">
        <v>2166</v>
      </c>
    </row>
    <row r="724" spans="1:5">
      <c r="A724" s="2831">
        <v>644</v>
      </c>
      <c r="B724" s="2831" t="s">
        <v>2910</v>
      </c>
      <c r="C724" s="2831">
        <v>1053</v>
      </c>
      <c r="D724" s="2831" t="s">
        <v>2929</v>
      </c>
      <c r="E724" s="2831" t="s">
        <v>2166</v>
      </c>
    </row>
    <row r="725" spans="1:5">
      <c r="A725" s="2831">
        <v>644</v>
      </c>
      <c r="B725" s="2831" t="s">
        <v>2910</v>
      </c>
      <c r="C725" s="2831">
        <v>193</v>
      </c>
      <c r="D725" s="2831" t="s">
        <v>2930</v>
      </c>
      <c r="E725" s="2831" t="s">
        <v>2166</v>
      </c>
    </row>
    <row r="726" spans="1:5">
      <c r="A726" s="2831">
        <v>644</v>
      </c>
      <c r="B726" s="2831" t="s">
        <v>2910</v>
      </c>
      <c r="C726" s="2831">
        <v>3053</v>
      </c>
      <c r="D726" s="2831" t="s">
        <v>2931</v>
      </c>
      <c r="E726" s="2831" t="s">
        <v>2174</v>
      </c>
    </row>
    <row r="727" spans="1:5">
      <c r="A727" s="2831">
        <v>644</v>
      </c>
      <c r="B727" s="2831" t="s">
        <v>2910</v>
      </c>
      <c r="C727" s="2831">
        <v>4053</v>
      </c>
      <c r="D727" s="2831" t="s">
        <v>2932</v>
      </c>
      <c r="E727" s="2831" t="s">
        <v>2166</v>
      </c>
    </row>
    <row r="728" spans="1:5">
      <c r="A728" s="2831">
        <v>644</v>
      </c>
      <c r="B728" s="2831" t="s">
        <v>2910</v>
      </c>
      <c r="C728" s="2831">
        <v>1054</v>
      </c>
      <c r="D728" s="2831" t="s">
        <v>2933</v>
      </c>
      <c r="E728" s="2831" t="s">
        <v>2174</v>
      </c>
    </row>
    <row r="729" spans="1:5">
      <c r="A729" s="2831">
        <v>644</v>
      </c>
      <c r="B729" s="2831" t="s">
        <v>2910</v>
      </c>
      <c r="C729" s="2831">
        <v>2054</v>
      </c>
      <c r="D729" s="2831" t="s">
        <v>2934</v>
      </c>
      <c r="E729" s="2831" t="s">
        <v>2174</v>
      </c>
    </row>
    <row r="730" spans="1:5">
      <c r="A730" s="2831">
        <v>644</v>
      </c>
      <c r="B730" s="2831" t="s">
        <v>2910</v>
      </c>
      <c r="C730" s="2831">
        <v>301</v>
      </c>
      <c r="D730" s="2831" t="s">
        <v>2817</v>
      </c>
      <c r="E730" s="2831" t="s">
        <v>2166</v>
      </c>
    </row>
    <row r="731" spans="1:5">
      <c r="A731" s="2831">
        <v>644</v>
      </c>
      <c r="B731" s="2831" t="s">
        <v>2910</v>
      </c>
      <c r="C731" s="2831">
        <v>4054</v>
      </c>
      <c r="D731" s="2831" t="s">
        <v>2935</v>
      </c>
      <c r="E731" s="2831" t="s">
        <v>2166</v>
      </c>
    </row>
    <row r="732" spans="1:5">
      <c r="A732" s="2831">
        <v>644</v>
      </c>
      <c r="B732" s="2831" t="s">
        <v>2910</v>
      </c>
      <c r="C732" s="2831">
        <v>1010</v>
      </c>
      <c r="D732" s="2831" t="s">
        <v>2936</v>
      </c>
      <c r="E732" s="2831" t="s">
        <v>2166</v>
      </c>
    </row>
    <row r="733" spans="1:5">
      <c r="A733" s="2831">
        <v>644</v>
      </c>
      <c r="B733" s="2831" t="s">
        <v>2910</v>
      </c>
      <c r="C733" s="2831">
        <v>500</v>
      </c>
      <c r="D733" s="2831" t="s">
        <v>2937</v>
      </c>
      <c r="E733" s="2831" t="s">
        <v>2174</v>
      </c>
    </row>
    <row r="734" spans="1:5">
      <c r="A734" s="2831">
        <v>644</v>
      </c>
      <c r="B734" s="2831" t="s">
        <v>2910</v>
      </c>
      <c r="C734" s="2831">
        <v>1050</v>
      </c>
      <c r="D734" s="2831" t="s">
        <v>2938</v>
      </c>
      <c r="E734" s="2831" t="s">
        <v>2166</v>
      </c>
    </row>
    <row r="735" spans="1:5">
      <c r="A735" s="2831">
        <v>644</v>
      </c>
      <c r="B735" s="2831" t="s">
        <v>2910</v>
      </c>
      <c r="C735" s="2831">
        <v>705</v>
      </c>
      <c r="D735" s="2831" t="s">
        <v>2939</v>
      </c>
      <c r="E735" s="2831" t="s">
        <v>2169</v>
      </c>
    </row>
    <row r="736" spans="1:5">
      <c r="A736" s="2831">
        <v>644</v>
      </c>
      <c r="B736" s="2831" t="s">
        <v>2910</v>
      </c>
      <c r="C736" s="2831">
        <v>113</v>
      </c>
      <c r="D736" s="2831" t="s">
        <v>2940</v>
      </c>
      <c r="E736" s="2831" t="s">
        <v>2169</v>
      </c>
    </row>
    <row r="737" spans="1:5">
      <c r="A737" s="2831">
        <v>644</v>
      </c>
      <c r="B737" s="2831" t="s">
        <v>2910</v>
      </c>
      <c r="C737" s="2831">
        <v>410</v>
      </c>
      <c r="D737" s="2831" t="s">
        <v>2941</v>
      </c>
      <c r="E737" s="2831" t="s">
        <v>2169</v>
      </c>
    </row>
    <row r="738" spans="1:5">
      <c r="A738" s="2831">
        <v>644</v>
      </c>
      <c r="B738" s="2831" t="s">
        <v>2910</v>
      </c>
      <c r="C738" s="2831">
        <v>407</v>
      </c>
      <c r="D738" s="2831" t="s">
        <v>2942</v>
      </c>
      <c r="E738" s="2831" t="s">
        <v>2174</v>
      </c>
    </row>
    <row r="739" spans="1:5">
      <c r="A739" s="2831">
        <v>644</v>
      </c>
      <c r="B739" s="2831" t="s">
        <v>2910</v>
      </c>
      <c r="C739" s="2831">
        <v>1105</v>
      </c>
      <c r="D739" s="2831" t="s">
        <v>2943</v>
      </c>
      <c r="E739" s="2831" t="s">
        <v>2169</v>
      </c>
    </row>
    <row r="740" spans="1:5">
      <c r="A740" s="2831">
        <v>644</v>
      </c>
      <c r="B740" s="2831" t="s">
        <v>2910</v>
      </c>
      <c r="C740" s="2831">
        <v>1055</v>
      </c>
      <c r="D740" s="2831" t="s">
        <v>2944</v>
      </c>
      <c r="E740" s="2831" t="s">
        <v>2169</v>
      </c>
    </row>
    <row r="741" spans="1:5">
      <c r="A741" s="2831">
        <v>644</v>
      </c>
      <c r="B741" s="2831" t="s">
        <v>2910</v>
      </c>
      <c r="C741" s="2831">
        <v>2055</v>
      </c>
      <c r="D741" s="2831" t="s">
        <v>2945</v>
      </c>
      <c r="E741" s="2831" t="s">
        <v>2169</v>
      </c>
    </row>
    <row r="742" spans="1:5">
      <c r="A742" s="2831">
        <v>644</v>
      </c>
      <c r="B742" s="2831" t="s">
        <v>2910</v>
      </c>
      <c r="C742" s="2831">
        <v>897</v>
      </c>
      <c r="D742" s="2831" t="s">
        <v>2946</v>
      </c>
      <c r="E742" s="2831" t="s">
        <v>2169</v>
      </c>
    </row>
    <row r="743" spans="1:5">
      <c r="A743" s="2831">
        <v>644</v>
      </c>
      <c r="B743" s="2831" t="s">
        <v>2910</v>
      </c>
      <c r="C743" s="2831">
        <v>3055</v>
      </c>
      <c r="D743" s="2831" t="s">
        <v>2947</v>
      </c>
      <c r="E743" s="2831" t="s">
        <v>2166</v>
      </c>
    </row>
    <row r="744" spans="1:5">
      <c r="A744" s="2831">
        <v>644</v>
      </c>
      <c r="B744" s="2831" t="s">
        <v>2910</v>
      </c>
      <c r="C744" s="2831">
        <v>214</v>
      </c>
      <c r="D744" s="2831" t="s">
        <v>2948</v>
      </c>
      <c r="E744" s="2831" t="s">
        <v>2166</v>
      </c>
    </row>
    <row r="745" spans="1:5">
      <c r="A745" s="2831">
        <v>644</v>
      </c>
      <c r="B745" s="2831" t="s">
        <v>2910</v>
      </c>
      <c r="C745" s="2831">
        <v>5055</v>
      </c>
      <c r="D745" s="2831" t="s">
        <v>2949</v>
      </c>
      <c r="E745" s="2831" t="s">
        <v>2169</v>
      </c>
    </row>
    <row r="746" spans="1:5">
      <c r="A746" s="2831">
        <v>644</v>
      </c>
      <c r="B746" s="2831" t="s">
        <v>2910</v>
      </c>
      <c r="C746" s="2831">
        <v>297</v>
      </c>
      <c r="D746" s="2831" t="s">
        <v>2950</v>
      </c>
      <c r="E746" s="2831" t="s">
        <v>2166</v>
      </c>
    </row>
    <row r="747" spans="1:5">
      <c r="A747" s="2831">
        <v>644</v>
      </c>
      <c r="B747" s="2831" t="s">
        <v>2910</v>
      </c>
      <c r="C747" s="2831">
        <v>181</v>
      </c>
      <c r="D747" s="2831" t="s">
        <v>2951</v>
      </c>
      <c r="E747" s="2831" t="s">
        <v>2174</v>
      </c>
    </row>
    <row r="748" spans="1:5">
      <c r="A748" s="2831">
        <v>644</v>
      </c>
      <c r="B748" s="2831" t="s">
        <v>2910</v>
      </c>
      <c r="C748" s="2831">
        <v>810</v>
      </c>
      <c r="D748" s="2831" t="s">
        <v>2952</v>
      </c>
      <c r="E748" s="2831" t="s">
        <v>2169</v>
      </c>
    </row>
    <row r="749" spans="1:5">
      <c r="A749" s="2831">
        <v>644</v>
      </c>
      <c r="B749" s="2831" t="s">
        <v>2910</v>
      </c>
      <c r="C749" s="2831">
        <v>1056</v>
      </c>
      <c r="D749" s="2831" t="s">
        <v>2953</v>
      </c>
      <c r="E749" s="2831" t="s">
        <v>2166</v>
      </c>
    </row>
    <row r="750" spans="1:5">
      <c r="A750" s="2831">
        <v>644</v>
      </c>
      <c r="B750" s="2831" t="s">
        <v>2910</v>
      </c>
      <c r="C750" s="2831">
        <v>375</v>
      </c>
      <c r="D750" s="2831" t="s">
        <v>2954</v>
      </c>
      <c r="E750" s="2831" t="s">
        <v>2174</v>
      </c>
    </row>
    <row r="751" spans="1:5">
      <c r="A751" s="2831">
        <v>644</v>
      </c>
      <c r="B751" s="2831" t="s">
        <v>2910</v>
      </c>
      <c r="C751" s="2831">
        <v>2056</v>
      </c>
      <c r="D751" s="2831" t="s">
        <v>2955</v>
      </c>
      <c r="E751" s="2831" t="s">
        <v>2166</v>
      </c>
    </row>
    <row r="752" spans="1:5">
      <c r="A752" s="2831">
        <v>644</v>
      </c>
      <c r="B752" s="2831" t="s">
        <v>2910</v>
      </c>
      <c r="C752" s="2831">
        <v>107</v>
      </c>
      <c r="D752" s="2831" t="s">
        <v>2956</v>
      </c>
      <c r="E752" s="2831" t="s">
        <v>2169</v>
      </c>
    </row>
    <row r="753" spans="1:5">
      <c r="A753" s="2831">
        <v>644</v>
      </c>
      <c r="B753" s="2831" t="s">
        <v>2910</v>
      </c>
      <c r="C753" s="2831">
        <v>3056</v>
      </c>
      <c r="D753" s="2831" t="s">
        <v>2957</v>
      </c>
      <c r="E753" s="2831" t="s">
        <v>2174</v>
      </c>
    </row>
    <row r="754" spans="1:5">
      <c r="A754" s="2831">
        <v>644</v>
      </c>
      <c r="B754" s="2831" t="s">
        <v>2910</v>
      </c>
      <c r="C754" s="2831">
        <v>201</v>
      </c>
      <c r="D754" s="2831" t="s">
        <v>2544</v>
      </c>
      <c r="E754" s="2831" t="s">
        <v>2166</v>
      </c>
    </row>
    <row r="755" spans="1:5">
      <c r="A755" s="2831">
        <v>644</v>
      </c>
      <c r="B755" s="2831" t="s">
        <v>2910</v>
      </c>
      <c r="C755" s="2831">
        <v>314</v>
      </c>
      <c r="D755" s="2831" t="s">
        <v>2958</v>
      </c>
      <c r="E755" s="2831" t="s">
        <v>2166</v>
      </c>
    </row>
    <row r="756" spans="1:5">
      <c r="A756" s="2831">
        <v>644</v>
      </c>
      <c r="B756" s="2831" t="s">
        <v>2910</v>
      </c>
      <c r="C756" s="2831">
        <v>3057</v>
      </c>
      <c r="D756" s="2831" t="s">
        <v>2959</v>
      </c>
      <c r="E756" s="2831" t="s">
        <v>2169</v>
      </c>
    </row>
    <row r="757" spans="1:5">
      <c r="A757" s="2831">
        <v>644</v>
      </c>
      <c r="B757" s="2831" t="s">
        <v>2910</v>
      </c>
      <c r="C757" s="2831">
        <v>5057</v>
      </c>
      <c r="D757" s="2831" t="s">
        <v>2623</v>
      </c>
      <c r="E757" s="2831" t="s">
        <v>2166</v>
      </c>
    </row>
    <row r="758" spans="1:5">
      <c r="A758" s="2831">
        <v>644</v>
      </c>
      <c r="B758" s="2831" t="s">
        <v>2910</v>
      </c>
      <c r="C758" s="2831">
        <v>797</v>
      </c>
      <c r="D758" s="2831" t="s">
        <v>2433</v>
      </c>
      <c r="E758" s="2831" t="s">
        <v>2169</v>
      </c>
    </row>
    <row r="759" spans="1:5">
      <c r="A759" s="2831">
        <v>644</v>
      </c>
      <c r="B759" s="2831" t="s">
        <v>2910</v>
      </c>
      <c r="C759" s="2831">
        <v>2058</v>
      </c>
      <c r="D759" s="2831" t="s">
        <v>2960</v>
      </c>
      <c r="E759" s="2831" t="s">
        <v>2169</v>
      </c>
    </row>
    <row r="760" spans="1:5">
      <c r="A760" s="2831">
        <v>644</v>
      </c>
      <c r="B760" s="2831" t="s">
        <v>2910</v>
      </c>
      <c r="C760" s="2831">
        <v>4058</v>
      </c>
      <c r="D760" s="2831" t="s">
        <v>2961</v>
      </c>
      <c r="E760" s="2831" t="s">
        <v>2166</v>
      </c>
    </row>
    <row r="761" spans="1:5">
      <c r="A761" s="2831">
        <v>644</v>
      </c>
      <c r="B761" s="2831" t="s">
        <v>2910</v>
      </c>
      <c r="C761" s="2831">
        <v>5058</v>
      </c>
      <c r="D761" s="2831" t="s">
        <v>2962</v>
      </c>
      <c r="E761" s="2831" t="s">
        <v>2169</v>
      </c>
    </row>
    <row r="762" spans="1:5">
      <c r="A762" s="2831">
        <v>644</v>
      </c>
      <c r="B762" s="2831" t="s">
        <v>2910</v>
      </c>
      <c r="C762" s="2831">
        <v>1059</v>
      </c>
      <c r="D762" s="2831" t="s">
        <v>2963</v>
      </c>
      <c r="E762" s="2831" t="s">
        <v>2174</v>
      </c>
    </row>
    <row r="763" spans="1:5">
      <c r="A763" s="2831">
        <v>644</v>
      </c>
      <c r="B763" s="2831" t="s">
        <v>2910</v>
      </c>
      <c r="C763" s="2831">
        <v>2059</v>
      </c>
      <c r="D763" s="2831" t="s">
        <v>2964</v>
      </c>
      <c r="E763" s="2831" t="s">
        <v>2169</v>
      </c>
    </row>
    <row r="764" spans="1:5">
      <c r="A764" s="2831">
        <v>644</v>
      </c>
      <c r="B764" s="2831" t="s">
        <v>2910</v>
      </c>
      <c r="C764" s="2831">
        <v>805</v>
      </c>
      <c r="D764" s="2831" t="s">
        <v>2965</v>
      </c>
      <c r="E764" s="2831" t="s">
        <v>2169</v>
      </c>
    </row>
    <row r="765" spans="1:5">
      <c r="A765" s="2831">
        <v>644</v>
      </c>
      <c r="B765" s="2831" t="s">
        <v>2910</v>
      </c>
      <c r="C765" s="2831">
        <v>1104</v>
      </c>
      <c r="D765" s="2831" t="s">
        <v>2348</v>
      </c>
      <c r="E765" s="2831" t="s">
        <v>2174</v>
      </c>
    </row>
    <row r="766" spans="1:5">
      <c r="A766" s="2831">
        <v>644</v>
      </c>
      <c r="B766" s="2831" t="s">
        <v>2910</v>
      </c>
      <c r="C766" s="2831">
        <v>3059</v>
      </c>
      <c r="D766" s="2831" t="s">
        <v>2966</v>
      </c>
      <c r="E766" s="2831" t="s">
        <v>2166</v>
      </c>
    </row>
    <row r="767" spans="1:5">
      <c r="A767" s="2831">
        <v>644</v>
      </c>
      <c r="B767" s="2831" t="s">
        <v>2910</v>
      </c>
      <c r="C767" s="2831">
        <v>4059</v>
      </c>
      <c r="D767" s="2831" t="s">
        <v>2967</v>
      </c>
      <c r="E767" s="2831" t="s">
        <v>2174</v>
      </c>
    </row>
    <row r="768" spans="1:5">
      <c r="A768" s="2831">
        <v>644</v>
      </c>
      <c r="B768" s="2831" t="s">
        <v>2910</v>
      </c>
      <c r="C768" s="2831">
        <v>5059</v>
      </c>
      <c r="D768" s="2831" t="s">
        <v>2968</v>
      </c>
      <c r="E768" s="2831" t="s">
        <v>2169</v>
      </c>
    </row>
    <row r="769" spans="1:5">
      <c r="A769" s="2831">
        <v>644</v>
      </c>
      <c r="B769" s="2831" t="s">
        <v>2910</v>
      </c>
      <c r="C769" s="2831">
        <v>288</v>
      </c>
      <c r="D769" s="2831" t="s">
        <v>2969</v>
      </c>
      <c r="E769" s="2831" t="s">
        <v>2166</v>
      </c>
    </row>
    <row r="770" spans="1:5">
      <c r="A770" s="2831">
        <v>644</v>
      </c>
      <c r="B770" s="2831" t="s">
        <v>2910</v>
      </c>
      <c r="C770" s="2831">
        <v>3060</v>
      </c>
      <c r="D770" s="2831" t="s">
        <v>2830</v>
      </c>
      <c r="E770" s="2831" t="s">
        <v>2169</v>
      </c>
    </row>
    <row r="771" spans="1:5">
      <c r="A771" s="2831">
        <v>644</v>
      </c>
      <c r="B771" s="2831" t="s">
        <v>2910</v>
      </c>
      <c r="C771" s="2831">
        <v>4060</v>
      </c>
      <c r="D771" s="2831" t="s">
        <v>2970</v>
      </c>
      <c r="E771" s="2831" t="s">
        <v>2169</v>
      </c>
    </row>
    <row r="772" spans="1:5">
      <c r="A772" s="2831">
        <v>644</v>
      </c>
      <c r="B772" s="2831" t="s">
        <v>2910</v>
      </c>
      <c r="C772" s="2831">
        <v>311</v>
      </c>
      <c r="D772" s="2831" t="s">
        <v>2971</v>
      </c>
      <c r="E772" s="2831" t="s">
        <v>2169</v>
      </c>
    </row>
    <row r="773" spans="1:5">
      <c r="A773" s="2831">
        <v>644</v>
      </c>
      <c r="B773" s="2831" t="s">
        <v>2910</v>
      </c>
      <c r="C773" s="2831">
        <v>202</v>
      </c>
      <c r="D773" s="2831" t="s">
        <v>2972</v>
      </c>
      <c r="E773" s="2831" t="s">
        <v>2166</v>
      </c>
    </row>
    <row r="774" spans="1:5">
      <c r="A774" s="2831">
        <v>644</v>
      </c>
      <c r="B774" s="2831" t="s">
        <v>2910</v>
      </c>
      <c r="C774" s="2831">
        <v>203</v>
      </c>
      <c r="D774" s="2831" t="s">
        <v>2973</v>
      </c>
      <c r="E774" s="2831" t="s">
        <v>2174</v>
      </c>
    </row>
    <row r="775" spans="1:5">
      <c r="A775" s="2831">
        <v>644</v>
      </c>
      <c r="B775" s="2831" t="s">
        <v>2910</v>
      </c>
      <c r="C775" s="2831">
        <v>1061</v>
      </c>
      <c r="D775" s="2831" t="s">
        <v>2974</v>
      </c>
      <c r="E775" s="2831" t="s">
        <v>2166</v>
      </c>
    </row>
    <row r="776" spans="1:5">
      <c r="A776" s="2831">
        <v>644</v>
      </c>
      <c r="B776" s="2831" t="s">
        <v>2910</v>
      </c>
      <c r="C776" s="2831">
        <v>197</v>
      </c>
      <c r="D776" s="2831" t="s">
        <v>2975</v>
      </c>
      <c r="E776" s="2831" t="s">
        <v>2169</v>
      </c>
    </row>
    <row r="777" spans="1:5">
      <c r="A777" s="2831">
        <v>644</v>
      </c>
      <c r="B777" s="2831" t="s">
        <v>2910</v>
      </c>
      <c r="C777" s="2831">
        <v>510</v>
      </c>
      <c r="D777" s="2831" t="s">
        <v>2976</v>
      </c>
      <c r="E777" s="2831" t="s">
        <v>2174</v>
      </c>
    </row>
    <row r="778" spans="1:5">
      <c r="A778" s="2831">
        <v>644</v>
      </c>
      <c r="B778" s="2831" t="s">
        <v>2910</v>
      </c>
      <c r="C778" s="2831">
        <v>103</v>
      </c>
      <c r="D778" s="2831" t="s">
        <v>2977</v>
      </c>
      <c r="E778" s="2831" t="s">
        <v>2169</v>
      </c>
    </row>
    <row r="779" spans="1:5">
      <c r="A779" s="2831">
        <v>644</v>
      </c>
      <c r="B779" s="2831" t="s">
        <v>2910</v>
      </c>
      <c r="C779" s="2831">
        <v>401</v>
      </c>
      <c r="D779" s="2831" t="s">
        <v>2978</v>
      </c>
      <c r="E779" s="2831" t="s">
        <v>2166</v>
      </c>
    </row>
    <row r="780" spans="1:5">
      <c r="A780" s="2831">
        <v>644</v>
      </c>
      <c r="B780" s="2831" t="s">
        <v>2910</v>
      </c>
      <c r="C780" s="2831">
        <v>2061</v>
      </c>
      <c r="D780" s="2831" t="s">
        <v>2979</v>
      </c>
      <c r="E780" s="2831" t="s">
        <v>2166</v>
      </c>
    </row>
    <row r="781" spans="1:5">
      <c r="A781" s="2831">
        <v>644</v>
      </c>
      <c r="B781" s="2831" t="s">
        <v>2910</v>
      </c>
      <c r="C781" s="2831">
        <v>3070</v>
      </c>
      <c r="D781" s="2831" t="s">
        <v>2980</v>
      </c>
      <c r="E781" s="2831" t="s">
        <v>2169</v>
      </c>
    </row>
    <row r="782" spans="1:5">
      <c r="A782" s="2831">
        <v>644</v>
      </c>
      <c r="B782" s="2831" t="s">
        <v>2910</v>
      </c>
      <c r="C782" s="2831">
        <v>1057</v>
      </c>
      <c r="D782" s="2831" t="s">
        <v>2981</v>
      </c>
      <c r="E782" s="2831" t="s">
        <v>2174</v>
      </c>
    </row>
    <row r="783" spans="1:5">
      <c r="A783" s="2831">
        <v>644</v>
      </c>
      <c r="B783" s="2831" t="s">
        <v>2910</v>
      </c>
      <c r="C783" s="2831">
        <v>2062</v>
      </c>
      <c r="D783" s="2831" t="s">
        <v>2982</v>
      </c>
      <c r="E783" s="2831" t="s">
        <v>2166</v>
      </c>
    </row>
    <row r="784" spans="1:5">
      <c r="A784" s="2831">
        <v>644</v>
      </c>
      <c r="B784" s="2831" t="s">
        <v>2910</v>
      </c>
      <c r="C784" s="2831">
        <v>105</v>
      </c>
      <c r="D784" s="2831" t="s">
        <v>2983</v>
      </c>
      <c r="E784" s="2831" t="s">
        <v>2166</v>
      </c>
    </row>
    <row r="785" spans="1:5">
      <c r="A785" s="2831">
        <v>644</v>
      </c>
      <c r="B785" s="2831" t="s">
        <v>2910</v>
      </c>
      <c r="C785" s="2831">
        <v>597</v>
      </c>
      <c r="D785" s="2831" t="s">
        <v>2984</v>
      </c>
      <c r="E785" s="2831" t="s">
        <v>2169</v>
      </c>
    </row>
    <row r="786" spans="1:5">
      <c r="A786" s="2831">
        <v>644</v>
      </c>
      <c r="B786" s="2831" t="s">
        <v>2910</v>
      </c>
      <c r="C786" s="2831">
        <v>4062</v>
      </c>
      <c r="D786" s="2831" t="s">
        <v>2985</v>
      </c>
      <c r="E786" s="2831" t="s">
        <v>2169</v>
      </c>
    </row>
    <row r="787" spans="1:5">
      <c r="A787" s="2831">
        <v>644</v>
      </c>
      <c r="B787" s="2831" t="s">
        <v>2910</v>
      </c>
      <c r="C787" s="2831">
        <v>5062</v>
      </c>
      <c r="D787" s="2831" t="s">
        <v>2986</v>
      </c>
      <c r="E787" s="2831" t="s">
        <v>2174</v>
      </c>
    </row>
    <row r="788" spans="1:5">
      <c r="A788" s="2831">
        <v>644</v>
      </c>
      <c r="B788" s="2831" t="s">
        <v>2910</v>
      </c>
      <c r="C788" s="2831">
        <v>4052</v>
      </c>
      <c r="D788" s="2831" t="s">
        <v>2987</v>
      </c>
      <c r="E788" s="2831" t="s">
        <v>2174</v>
      </c>
    </row>
    <row r="789" spans="1:5">
      <c r="A789" s="2831">
        <v>644</v>
      </c>
      <c r="B789" s="2831" t="s">
        <v>2910</v>
      </c>
      <c r="C789" s="2831">
        <v>215</v>
      </c>
      <c r="D789" s="2831" t="s">
        <v>2988</v>
      </c>
      <c r="E789" s="2831" t="s">
        <v>2166</v>
      </c>
    </row>
    <row r="790" spans="1:5">
      <c r="A790" s="2831">
        <v>644</v>
      </c>
      <c r="B790" s="2831" t="s">
        <v>2910</v>
      </c>
      <c r="C790" s="2831">
        <v>100</v>
      </c>
      <c r="D790" s="2831" t="s">
        <v>2989</v>
      </c>
      <c r="E790" s="2831" t="s">
        <v>2174</v>
      </c>
    </row>
    <row r="791" spans="1:5">
      <c r="A791" s="2831">
        <v>644</v>
      </c>
      <c r="B791" s="2831" t="s">
        <v>2910</v>
      </c>
      <c r="C791" s="2831">
        <v>3063</v>
      </c>
      <c r="D791" s="2831" t="s">
        <v>2555</v>
      </c>
      <c r="E791" s="2831" t="s">
        <v>2169</v>
      </c>
    </row>
    <row r="792" spans="1:5">
      <c r="A792" s="2831">
        <v>644</v>
      </c>
      <c r="B792" s="2831" t="s">
        <v>2910</v>
      </c>
      <c r="C792" s="2831">
        <v>305</v>
      </c>
      <c r="D792" s="2831" t="s">
        <v>2990</v>
      </c>
      <c r="E792" s="2831" t="s">
        <v>2174</v>
      </c>
    </row>
    <row r="793" spans="1:5">
      <c r="A793" s="2831">
        <v>644</v>
      </c>
      <c r="B793" s="2831" t="s">
        <v>2910</v>
      </c>
      <c r="C793" s="2831">
        <v>4063</v>
      </c>
      <c r="D793" s="2831" t="s">
        <v>2991</v>
      </c>
      <c r="E793" s="2831" t="s">
        <v>2174</v>
      </c>
    </row>
    <row r="794" spans="1:5">
      <c r="A794" s="2831">
        <v>644</v>
      </c>
      <c r="B794" s="2831" t="s">
        <v>2910</v>
      </c>
      <c r="C794" s="2831">
        <v>188</v>
      </c>
      <c r="D794" s="2831" t="s">
        <v>2992</v>
      </c>
      <c r="E794" s="2831" t="s">
        <v>2174</v>
      </c>
    </row>
    <row r="795" spans="1:5">
      <c r="A795" s="2831">
        <v>644</v>
      </c>
      <c r="B795" s="2831" t="s">
        <v>2910</v>
      </c>
      <c r="C795" s="2831">
        <v>1101</v>
      </c>
      <c r="D795" s="2831" t="s">
        <v>2993</v>
      </c>
      <c r="E795" s="2831" t="s">
        <v>2174</v>
      </c>
    </row>
    <row r="796" spans="1:5">
      <c r="A796" s="2831">
        <v>644</v>
      </c>
      <c r="B796" s="2831" t="s">
        <v>2910</v>
      </c>
      <c r="C796" s="2831">
        <v>189</v>
      </c>
      <c r="D796" s="2831" t="s">
        <v>2994</v>
      </c>
      <c r="E796" s="2831" t="s">
        <v>2166</v>
      </c>
    </row>
    <row r="797" spans="1:5">
      <c r="A797" s="2831">
        <v>644</v>
      </c>
      <c r="B797" s="2831" t="s">
        <v>2910</v>
      </c>
      <c r="C797" s="2831">
        <v>190</v>
      </c>
      <c r="D797" s="2831" t="s">
        <v>2995</v>
      </c>
      <c r="E797" s="2831" t="s">
        <v>2169</v>
      </c>
    </row>
    <row r="798" spans="1:5">
      <c r="A798" s="2831">
        <v>644</v>
      </c>
      <c r="B798" s="2831" t="s">
        <v>2910</v>
      </c>
      <c r="C798" s="2831">
        <v>3064</v>
      </c>
      <c r="D798" s="2831" t="s">
        <v>2996</v>
      </c>
      <c r="E798" s="2831" t="s">
        <v>2169</v>
      </c>
    </row>
    <row r="799" spans="1:5">
      <c r="A799" s="2831">
        <v>644</v>
      </c>
      <c r="B799" s="2831" t="s">
        <v>2910</v>
      </c>
      <c r="C799" s="2831">
        <v>108</v>
      </c>
      <c r="D799" s="2831" t="s">
        <v>2997</v>
      </c>
      <c r="E799" s="2831" t="s">
        <v>2166</v>
      </c>
    </row>
    <row r="800" spans="1:5">
      <c r="A800" s="2831">
        <v>644</v>
      </c>
      <c r="B800" s="2831" t="s">
        <v>2910</v>
      </c>
      <c r="C800" s="2831">
        <v>4064</v>
      </c>
      <c r="D800" s="2831" t="s">
        <v>2998</v>
      </c>
      <c r="E800" s="2831" t="s">
        <v>2174</v>
      </c>
    </row>
    <row r="801" spans="1:5">
      <c r="A801" s="2831">
        <v>644</v>
      </c>
      <c r="B801" s="2831" t="s">
        <v>2910</v>
      </c>
      <c r="C801" s="2831">
        <v>5064</v>
      </c>
      <c r="D801" s="2831" t="s">
        <v>2999</v>
      </c>
      <c r="E801" s="2831" t="s">
        <v>2169</v>
      </c>
    </row>
    <row r="802" spans="1:5">
      <c r="A802" s="2831">
        <v>644</v>
      </c>
      <c r="B802" s="2831" t="s">
        <v>2910</v>
      </c>
      <c r="C802" s="2831">
        <v>176</v>
      </c>
      <c r="D802" s="2831" t="s">
        <v>3000</v>
      </c>
      <c r="E802" s="2831" t="s">
        <v>2174</v>
      </c>
    </row>
    <row r="803" spans="1:5">
      <c r="A803" s="2831">
        <v>644</v>
      </c>
      <c r="B803" s="2831" t="s">
        <v>2910</v>
      </c>
      <c r="C803" s="2831">
        <v>205</v>
      </c>
      <c r="D803" s="2831" t="s">
        <v>3001</v>
      </c>
      <c r="E803" s="2831" t="s">
        <v>2174</v>
      </c>
    </row>
    <row r="804" spans="1:5">
      <c r="A804" s="2831">
        <v>644</v>
      </c>
      <c r="B804" s="2831" t="s">
        <v>2910</v>
      </c>
      <c r="C804" s="2831">
        <v>399</v>
      </c>
      <c r="D804" s="2831" t="s">
        <v>3002</v>
      </c>
      <c r="E804" s="2831" t="s">
        <v>2174</v>
      </c>
    </row>
    <row r="805" spans="1:5">
      <c r="A805" s="2831">
        <v>644</v>
      </c>
      <c r="B805" s="2831" t="s">
        <v>2910</v>
      </c>
      <c r="C805" s="2831">
        <v>3065</v>
      </c>
      <c r="D805" s="2831" t="s">
        <v>3003</v>
      </c>
      <c r="E805" s="2831" t="s">
        <v>2169</v>
      </c>
    </row>
    <row r="806" spans="1:5">
      <c r="A806" s="2831">
        <v>644</v>
      </c>
      <c r="B806" s="2831" t="s">
        <v>2910</v>
      </c>
      <c r="C806" s="2831">
        <v>272</v>
      </c>
      <c r="D806" s="2831" t="s">
        <v>3004</v>
      </c>
      <c r="E806" s="2831" t="s">
        <v>2166</v>
      </c>
    </row>
    <row r="807" spans="1:5">
      <c r="A807" s="2831">
        <v>644</v>
      </c>
      <c r="B807" s="2831" t="s">
        <v>2910</v>
      </c>
      <c r="C807" s="2831">
        <v>409</v>
      </c>
      <c r="D807" s="2831" t="s">
        <v>3005</v>
      </c>
      <c r="E807" s="2831" t="s">
        <v>2169</v>
      </c>
    </row>
    <row r="808" spans="1:5">
      <c r="A808" s="2831">
        <v>644</v>
      </c>
      <c r="B808" s="2831" t="s">
        <v>2910</v>
      </c>
      <c r="C808" s="2831">
        <v>4065</v>
      </c>
      <c r="D808" s="2831" t="s">
        <v>3006</v>
      </c>
      <c r="E808" s="2831" t="s">
        <v>2174</v>
      </c>
    </row>
    <row r="809" spans="1:5">
      <c r="A809" s="2831">
        <v>644</v>
      </c>
      <c r="B809" s="2831" t="s">
        <v>2910</v>
      </c>
      <c r="C809" s="2831">
        <v>5065</v>
      </c>
      <c r="D809" s="2831" t="s">
        <v>3007</v>
      </c>
      <c r="E809" s="2831" t="s">
        <v>2169</v>
      </c>
    </row>
    <row r="810" spans="1:5">
      <c r="A810" s="2831">
        <v>644</v>
      </c>
      <c r="B810" s="2831" t="s">
        <v>2910</v>
      </c>
      <c r="C810" s="2831">
        <v>291</v>
      </c>
      <c r="D810" s="2831" t="s">
        <v>3008</v>
      </c>
      <c r="E810" s="2831" t="s">
        <v>2166</v>
      </c>
    </row>
    <row r="811" spans="1:5">
      <c r="A811" s="2831">
        <v>644</v>
      </c>
      <c r="B811" s="2831" t="s">
        <v>2910</v>
      </c>
      <c r="C811" s="2831">
        <v>290</v>
      </c>
      <c r="D811" s="2831" t="s">
        <v>2662</v>
      </c>
      <c r="E811" s="2831" t="s">
        <v>2166</v>
      </c>
    </row>
    <row r="812" spans="1:5">
      <c r="A812" s="2831">
        <v>644</v>
      </c>
      <c r="B812" s="2831" t="s">
        <v>2910</v>
      </c>
      <c r="C812" s="2831">
        <v>293</v>
      </c>
      <c r="D812" s="2831" t="s">
        <v>3009</v>
      </c>
      <c r="E812" s="2831" t="s">
        <v>2169</v>
      </c>
    </row>
    <row r="813" spans="1:5">
      <c r="A813" s="2831">
        <v>644</v>
      </c>
      <c r="B813" s="2831" t="s">
        <v>2910</v>
      </c>
      <c r="C813" s="2831">
        <v>3067</v>
      </c>
      <c r="D813" s="2831" t="s">
        <v>3010</v>
      </c>
      <c r="E813" s="2831" t="s">
        <v>2169</v>
      </c>
    </row>
    <row r="814" spans="1:5">
      <c r="A814" s="2831">
        <v>644</v>
      </c>
      <c r="B814" s="2831" t="s">
        <v>2910</v>
      </c>
      <c r="C814" s="2831">
        <v>4067</v>
      </c>
      <c r="D814" s="2831" t="s">
        <v>3011</v>
      </c>
      <c r="E814" s="2831" t="s">
        <v>2166</v>
      </c>
    </row>
    <row r="815" spans="1:5">
      <c r="A815" s="2831">
        <v>644</v>
      </c>
      <c r="B815" s="2831" t="s">
        <v>2910</v>
      </c>
      <c r="C815" s="2831">
        <v>5067</v>
      </c>
      <c r="D815" s="2831" t="s">
        <v>3012</v>
      </c>
      <c r="E815" s="2831" t="s">
        <v>2166</v>
      </c>
    </row>
    <row r="816" spans="1:5">
      <c r="A816" s="2831">
        <v>644</v>
      </c>
      <c r="B816" s="2831" t="s">
        <v>2910</v>
      </c>
      <c r="C816" s="2831">
        <v>497</v>
      </c>
      <c r="D816" s="2831" t="s">
        <v>3013</v>
      </c>
      <c r="E816" s="2831" t="s">
        <v>2166</v>
      </c>
    </row>
    <row r="817" spans="1:5">
      <c r="A817" s="2831">
        <v>644</v>
      </c>
      <c r="B817" s="2831" t="s">
        <v>2910</v>
      </c>
      <c r="C817" s="2831">
        <v>397</v>
      </c>
      <c r="D817" s="2831" t="s">
        <v>3014</v>
      </c>
      <c r="E817" s="2831" t="s">
        <v>2166</v>
      </c>
    </row>
    <row r="818" spans="1:5">
      <c r="A818" s="2831">
        <v>644</v>
      </c>
      <c r="B818" s="2831" t="s">
        <v>2910</v>
      </c>
      <c r="C818" s="2831">
        <v>575</v>
      </c>
      <c r="D818" s="2831" t="s">
        <v>3015</v>
      </c>
      <c r="E818" s="2831" t="s">
        <v>2169</v>
      </c>
    </row>
    <row r="819" spans="1:5">
      <c r="A819" s="2831">
        <v>644</v>
      </c>
      <c r="B819" s="2831" t="s">
        <v>2910</v>
      </c>
      <c r="C819" s="2831">
        <v>2068</v>
      </c>
      <c r="D819" s="2831" t="s">
        <v>3016</v>
      </c>
      <c r="E819" s="2831" t="s">
        <v>2166</v>
      </c>
    </row>
    <row r="820" spans="1:5">
      <c r="A820" s="2831">
        <v>644</v>
      </c>
      <c r="B820" s="2831" t="s">
        <v>2910</v>
      </c>
      <c r="C820" s="2831">
        <v>276</v>
      </c>
      <c r="D820" s="2831" t="s">
        <v>3017</v>
      </c>
      <c r="E820" s="2831" t="s">
        <v>2169</v>
      </c>
    </row>
    <row r="821" spans="1:5">
      <c r="A821" s="2831">
        <v>644</v>
      </c>
      <c r="B821" s="2831" t="s">
        <v>2910</v>
      </c>
      <c r="C821" s="2831">
        <v>506</v>
      </c>
      <c r="D821" s="2831" t="s">
        <v>3018</v>
      </c>
      <c r="E821" s="2831" t="s">
        <v>2174</v>
      </c>
    </row>
    <row r="822" spans="1:5">
      <c r="A822" s="2831">
        <v>644</v>
      </c>
      <c r="B822" s="2831" t="s">
        <v>2910</v>
      </c>
      <c r="C822" s="2831">
        <v>4068</v>
      </c>
      <c r="D822" s="2831" t="s">
        <v>3019</v>
      </c>
      <c r="E822" s="2831" t="s">
        <v>2166</v>
      </c>
    </row>
    <row r="823" spans="1:5">
      <c r="A823" s="2831">
        <v>644</v>
      </c>
      <c r="B823" s="2831" t="s">
        <v>2910</v>
      </c>
      <c r="C823" s="2831">
        <v>315</v>
      </c>
      <c r="D823" s="2831" t="s">
        <v>3020</v>
      </c>
      <c r="E823" s="2831" t="s">
        <v>2169</v>
      </c>
    </row>
    <row r="824" spans="1:5">
      <c r="A824" s="2831">
        <v>644</v>
      </c>
      <c r="B824" s="2831" t="s">
        <v>2910</v>
      </c>
      <c r="C824" s="2831">
        <v>507</v>
      </c>
      <c r="D824" s="2831" t="s">
        <v>3021</v>
      </c>
      <c r="E824" s="2831" t="s">
        <v>2166</v>
      </c>
    </row>
    <row r="825" spans="1:5">
      <c r="A825" s="2831">
        <v>644</v>
      </c>
      <c r="B825" s="2831" t="s">
        <v>2910</v>
      </c>
      <c r="C825" s="2831">
        <v>3069</v>
      </c>
      <c r="D825" s="2831" t="s">
        <v>3022</v>
      </c>
      <c r="E825" s="2831" t="s">
        <v>2166</v>
      </c>
    </row>
    <row r="826" spans="1:5">
      <c r="A826" s="2831">
        <v>644</v>
      </c>
      <c r="B826" s="2831" t="s">
        <v>2910</v>
      </c>
      <c r="C826" s="2831">
        <v>4069</v>
      </c>
      <c r="D826" s="2831" t="s">
        <v>3023</v>
      </c>
      <c r="E826" s="2831" t="s">
        <v>2169</v>
      </c>
    </row>
    <row r="827" spans="1:5">
      <c r="A827" s="2831">
        <v>644</v>
      </c>
      <c r="B827" s="2831" t="s">
        <v>2910</v>
      </c>
      <c r="C827" s="2831">
        <v>1070</v>
      </c>
      <c r="D827" s="2831" t="s">
        <v>3024</v>
      </c>
      <c r="E827" s="2831" t="s">
        <v>2169</v>
      </c>
    </row>
    <row r="828" spans="1:5">
      <c r="A828" s="2831">
        <v>644</v>
      </c>
      <c r="B828" s="2831" t="s">
        <v>2910</v>
      </c>
      <c r="C828" s="2831">
        <v>605</v>
      </c>
      <c r="D828" s="2831" t="s">
        <v>3025</v>
      </c>
      <c r="E828" s="2831" t="s">
        <v>2169</v>
      </c>
    </row>
    <row r="829" spans="1:5">
      <c r="A829" s="2831">
        <v>644</v>
      </c>
      <c r="B829" s="2831" t="s">
        <v>2910</v>
      </c>
      <c r="C829" s="2831">
        <v>173</v>
      </c>
      <c r="D829" s="2831" t="s">
        <v>3026</v>
      </c>
      <c r="E829" s="2831" t="s">
        <v>2174</v>
      </c>
    </row>
    <row r="830" spans="1:5">
      <c r="A830" s="2831">
        <v>644</v>
      </c>
      <c r="B830" s="2831" t="s">
        <v>2910</v>
      </c>
      <c r="C830" s="2831">
        <v>309</v>
      </c>
      <c r="D830" s="2831" t="s">
        <v>3027</v>
      </c>
      <c r="E830" s="2831" t="s">
        <v>2174</v>
      </c>
    </row>
    <row r="831" spans="1:5">
      <c r="A831" s="2831">
        <v>644</v>
      </c>
      <c r="B831" s="2831" t="s">
        <v>2910</v>
      </c>
      <c r="C831" s="2831">
        <v>675</v>
      </c>
      <c r="D831" s="2831" t="s">
        <v>3028</v>
      </c>
      <c r="E831" s="2831" t="s">
        <v>2169</v>
      </c>
    </row>
    <row r="832" spans="1:5">
      <c r="A832" s="2831">
        <v>644</v>
      </c>
      <c r="B832" s="2831" t="s">
        <v>2910</v>
      </c>
      <c r="C832" s="2831">
        <v>1071</v>
      </c>
      <c r="D832" s="2831" t="s">
        <v>3029</v>
      </c>
      <c r="E832" s="2831" t="s">
        <v>2174</v>
      </c>
    </row>
    <row r="833" spans="1:5">
      <c r="A833" s="2831">
        <v>644</v>
      </c>
      <c r="B833" s="2831" t="s">
        <v>2910</v>
      </c>
      <c r="C833" s="2831">
        <v>102</v>
      </c>
      <c r="D833" s="2831" t="s">
        <v>3030</v>
      </c>
      <c r="E833" s="2831" t="s">
        <v>2169</v>
      </c>
    </row>
    <row r="834" spans="1:5">
      <c r="A834" s="2831">
        <v>643</v>
      </c>
      <c r="B834" s="2831" t="s">
        <v>3031</v>
      </c>
      <c r="C834" s="2831">
        <v>3050</v>
      </c>
      <c r="D834" s="2831" t="s">
        <v>3032</v>
      </c>
      <c r="E834" s="2831" t="s">
        <v>2174</v>
      </c>
    </row>
    <row r="835" spans="1:5">
      <c r="A835" s="2831">
        <v>643</v>
      </c>
      <c r="B835" s="2831" t="s">
        <v>3031</v>
      </c>
      <c r="C835" s="2831">
        <v>2050</v>
      </c>
      <c r="D835" s="2831" t="s">
        <v>3033</v>
      </c>
      <c r="E835" s="2831" t="s">
        <v>2169</v>
      </c>
    </row>
    <row r="836" spans="1:5">
      <c r="A836" s="2831">
        <v>643</v>
      </c>
      <c r="B836" s="2831" t="s">
        <v>3031</v>
      </c>
      <c r="C836" s="2831">
        <v>2052</v>
      </c>
      <c r="D836" s="2831" t="s">
        <v>3034</v>
      </c>
      <c r="E836" s="2831" t="s">
        <v>2174</v>
      </c>
    </row>
    <row r="837" spans="1:5">
      <c r="A837" s="2831">
        <v>643</v>
      </c>
      <c r="B837" s="2831" t="s">
        <v>3031</v>
      </c>
      <c r="C837" s="2831">
        <v>4052</v>
      </c>
      <c r="D837" s="2831" t="s">
        <v>3035</v>
      </c>
      <c r="E837" s="2831" t="s">
        <v>2169</v>
      </c>
    </row>
    <row r="838" spans="1:5">
      <c r="A838" s="2831">
        <v>643</v>
      </c>
      <c r="B838" s="2831" t="s">
        <v>3031</v>
      </c>
      <c r="C838" s="2831">
        <v>116</v>
      </c>
      <c r="D838" s="2831" t="s">
        <v>3036</v>
      </c>
      <c r="E838" s="2831" t="s">
        <v>2166</v>
      </c>
    </row>
    <row r="839" spans="1:5">
      <c r="A839" s="2831">
        <v>643</v>
      </c>
      <c r="B839" s="2831" t="s">
        <v>3031</v>
      </c>
      <c r="C839" s="2831">
        <v>105</v>
      </c>
      <c r="D839" s="2831" t="s">
        <v>3037</v>
      </c>
      <c r="E839" s="2831" t="s">
        <v>2169</v>
      </c>
    </row>
    <row r="840" spans="1:5">
      <c r="A840" s="2831">
        <v>645</v>
      </c>
      <c r="B840" s="2831" t="s">
        <v>3038</v>
      </c>
      <c r="C840" s="2831">
        <v>293</v>
      </c>
      <c r="D840" s="2831" t="s">
        <v>3039</v>
      </c>
      <c r="E840" s="2831" t="s">
        <v>2174</v>
      </c>
    </row>
    <row r="841" spans="1:5">
      <c r="A841" s="2831">
        <v>645</v>
      </c>
      <c r="B841" s="2831" t="s">
        <v>3038</v>
      </c>
      <c r="C841" s="2831">
        <v>103</v>
      </c>
      <c r="D841" s="2831" t="s">
        <v>3040</v>
      </c>
      <c r="E841" s="2831" t="s">
        <v>2169</v>
      </c>
    </row>
    <row r="842" spans="1:5">
      <c r="A842" s="2831">
        <v>645</v>
      </c>
      <c r="B842" s="2831" t="s">
        <v>3038</v>
      </c>
      <c r="C842" s="2831">
        <v>180</v>
      </c>
      <c r="D842" s="2831" t="s">
        <v>3041</v>
      </c>
      <c r="E842" s="2831" t="s">
        <v>2169</v>
      </c>
    </row>
    <row r="843" spans="1:5">
      <c r="A843" s="2831">
        <v>646</v>
      </c>
      <c r="B843" s="2831" t="s">
        <v>3042</v>
      </c>
      <c r="C843" s="2831">
        <v>104</v>
      </c>
      <c r="D843" s="2831" t="s">
        <v>3043</v>
      </c>
      <c r="E843" s="2831" t="s">
        <v>2169</v>
      </c>
    </row>
    <row r="844" spans="1:5">
      <c r="A844" s="2831">
        <v>646</v>
      </c>
      <c r="B844" s="2831" t="s">
        <v>3042</v>
      </c>
      <c r="C844" s="2831">
        <v>182</v>
      </c>
      <c r="D844" s="2831" t="s">
        <v>3044</v>
      </c>
      <c r="E844" s="2831" t="s">
        <v>2169</v>
      </c>
    </row>
    <row r="845" spans="1:5">
      <c r="A845" s="2831">
        <v>646</v>
      </c>
      <c r="B845" s="2831" t="s">
        <v>3042</v>
      </c>
      <c r="C845" s="2831">
        <v>204</v>
      </c>
      <c r="D845" s="2831" t="s">
        <v>3045</v>
      </c>
      <c r="E845" s="2831" t="s">
        <v>2166</v>
      </c>
    </row>
    <row r="846" spans="1:5">
      <c r="A846" s="2831">
        <v>647</v>
      </c>
      <c r="B846" s="2831" t="s">
        <v>3046</v>
      </c>
      <c r="C846" s="2831">
        <v>101</v>
      </c>
      <c r="D846" s="2831" t="s">
        <v>3047</v>
      </c>
      <c r="E846" s="2831" t="s">
        <v>2174</v>
      </c>
    </row>
    <row r="847" spans="1:5">
      <c r="A847" s="2831">
        <v>647</v>
      </c>
      <c r="B847" s="2831" t="s">
        <v>3046</v>
      </c>
      <c r="C847" s="2831">
        <v>299</v>
      </c>
      <c r="D847" s="2831" t="s">
        <v>3048</v>
      </c>
      <c r="E847" s="2831" t="s">
        <v>2166</v>
      </c>
    </row>
    <row r="848" spans="1:5">
      <c r="A848" s="2831">
        <v>647</v>
      </c>
      <c r="B848" s="2831" t="s">
        <v>3046</v>
      </c>
      <c r="C848" s="2831">
        <v>2052</v>
      </c>
      <c r="D848" s="2831" t="s">
        <v>3049</v>
      </c>
      <c r="E848" s="2831" t="s">
        <v>2166</v>
      </c>
    </row>
    <row r="849" spans="1:5">
      <c r="A849" s="2831">
        <v>647</v>
      </c>
      <c r="B849" s="2831" t="s">
        <v>3046</v>
      </c>
      <c r="C849" s="2831">
        <v>5056</v>
      </c>
      <c r="D849" s="2831" t="s">
        <v>3050</v>
      </c>
      <c r="E849" s="2831" t="s">
        <v>2166</v>
      </c>
    </row>
    <row r="850" spans="1:5">
      <c r="A850" s="2831">
        <v>647</v>
      </c>
      <c r="B850" s="2831" t="s">
        <v>3046</v>
      </c>
      <c r="C850" s="2831">
        <v>4054</v>
      </c>
      <c r="D850" s="2831" t="s">
        <v>3051</v>
      </c>
      <c r="E850" s="2831" t="s">
        <v>2174</v>
      </c>
    </row>
    <row r="851" spans="1:5">
      <c r="A851" s="2831">
        <v>647</v>
      </c>
      <c r="B851" s="2831" t="s">
        <v>3046</v>
      </c>
      <c r="C851" s="2831">
        <v>199</v>
      </c>
      <c r="D851" s="2831" t="s">
        <v>3052</v>
      </c>
      <c r="E851" s="2831" t="s">
        <v>2174</v>
      </c>
    </row>
    <row r="852" spans="1:5">
      <c r="A852" s="2831">
        <v>647</v>
      </c>
      <c r="B852" s="2831" t="s">
        <v>3046</v>
      </c>
      <c r="C852" s="2831">
        <v>205</v>
      </c>
      <c r="D852" s="2831" t="s">
        <v>3053</v>
      </c>
      <c r="E852" s="2831" t="s">
        <v>2174</v>
      </c>
    </row>
    <row r="853" spans="1:5">
      <c r="A853" s="2831">
        <v>647</v>
      </c>
      <c r="B853" s="2831" t="s">
        <v>3046</v>
      </c>
      <c r="C853" s="2831">
        <v>102</v>
      </c>
      <c r="D853" s="2831" t="s">
        <v>3054</v>
      </c>
      <c r="E853" s="2831" t="s">
        <v>2166</v>
      </c>
    </row>
    <row r="854" spans="1:5">
      <c r="A854" s="2831">
        <v>647</v>
      </c>
      <c r="B854" s="2831" t="s">
        <v>3046</v>
      </c>
      <c r="C854" s="2831">
        <v>399</v>
      </c>
      <c r="D854" s="2831" t="s">
        <v>2640</v>
      </c>
      <c r="E854" s="2831" t="s">
        <v>2169</v>
      </c>
    </row>
    <row r="855" spans="1:5">
      <c r="A855" s="2831">
        <v>647</v>
      </c>
      <c r="B855" s="2831" t="s">
        <v>3046</v>
      </c>
      <c r="C855" s="2831">
        <v>4056</v>
      </c>
      <c r="D855" s="2831" t="s">
        <v>3055</v>
      </c>
      <c r="E855" s="2831" t="s">
        <v>2166</v>
      </c>
    </row>
    <row r="856" spans="1:5">
      <c r="A856" s="2831">
        <v>647</v>
      </c>
      <c r="B856" s="2831" t="s">
        <v>3046</v>
      </c>
      <c r="C856" s="2831">
        <v>1058</v>
      </c>
      <c r="D856" s="2831" t="s">
        <v>3056</v>
      </c>
      <c r="E856" s="2831" t="s">
        <v>2174</v>
      </c>
    </row>
    <row r="857" spans="1:5">
      <c r="A857" s="2831">
        <v>647</v>
      </c>
      <c r="B857" s="2831" t="s">
        <v>3046</v>
      </c>
      <c r="C857" s="2831">
        <v>2058</v>
      </c>
      <c r="D857" s="2831" t="s">
        <v>2240</v>
      </c>
      <c r="E857" s="2831" t="s">
        <v>2174</v>
      </c>
    </row>
    <row r="858" spans="1:5">
      <c r="A858" s="2831">
        <v>647</v>
      </c>
      <c r="B858" s="2831" t="s">
        <v>3046</v>
      </c>
      <c r="C858" s="2831">
        <v>3058</v>
      </c>
      <c r="D858" s="2831" t="s">
        <v>2870</v>
      </c>
      <c r="E858" s="2831" t="s">
        <v>2166</v>
      </c>
    </row>
    <row r="859" spans="1:5">
      <c r="A859" s="2831">
        <v>647</v>
      </c>
      <c r="B859" s="2831" t="s">
        <v>3046</v>
      </c>
      <c r="C859" s="2831">
        <v>5058</v>
      </c>
      <c r="D859" s="2831" t="s">
        <v>3057</v>
      </c>
      <c r="E859" s="2831" t="s">
        <v>2166</v>
      </c>
    </row>
    <row r="860" spans="1:5">
      <c r="A860" s="2831">
        <v>647</v>
      </c>
      <c r="B860" s="2831" t="s">
        <v>3046</v>
      </c>
      <c r="C860" s="2831">
        <v>106</v>
      </c>
      <c r="D860" s="2831" t="s">
        <v>3058</v>
      </c>
      <c r="E860" s="2831" t="s">
        <v>2166</v>
      </c>
    </row>
    <row r="861" spans="1:5">
      <c r="A861" s="2831">
        <v>647</v>
      </c>
      <c r="B861" s="2831" t="s">
        <v>3046</v>
      </c>
      <c r="C861" s="2831">
        <v>103</v>
      </c>
      <c r="D861" s="2831" t="s">
        <v>3059</v>
      </c>
      <c r="E861" s="2831" t="s">
        <v>2174</v>
      </c>
    </row>
    <row r="862" spans="1:5">
      <c r="A862" s="2831">
        <v>647</v>
      </c>
      <c r="B862" s="2831" t="s">
        <v>3046</v>
      </c>
      <c r="C862" s="2831">
        <v>105</v>
      </c>
      <c r="D862" s="2831" t="s">
        <v>3060</v>
      </c>
      <c r="E862" s="2831" t="s">
        <v>2169</v>
      </c>
    </row>
    <row r="863" spans="1:5">
      <c r="A863" s="2831">
        <v>647</v>
      </c>
      <c r="B863" s="2831" t="s">
        <v>3046</v>
      </c>
      <c r="C863" s="2831">
        <v>4060</v>
      </c>
      <c r="D863" s="2831" t="s">
        <v>3061</v>
      </c>
      <c r="E863" s="2831" t="s">
        <v>2174</v>
      </c>
    </row>
    <row r="864" spans="1:5">
      <c r="A864" s="2831">
        <v>647</v>
      </c>
      <c r="B864" s="2831" t="s">
        <v>3046</v>
      </c>
      <c r="C864" s="2831">
        <v>3062</v>
      </c>
      <c r="D864" s="2831" t="s">
        <v>3062</v>
      </c>
      <c r="E864" s="2831" t="s">
        <v>2166</v>
      </c>
    </row>
    <row r="865" spans="1:5">
      <c r="A865" s="2831">
        <v>647</v>
      </c>
      <c r="B865" s="2831" t="s">
        <v>3046</v>
      </c>
      <c r="C865" s="2831">
        <v>5062</v>
      </c>
      <c r="D865" s="2831" t="s">
        <v>3063</v>
      </c>
      <c r="E865" s="2831" t="s">
        <v>2174</v>
      </c>
    </row>
    <row r="866" spans="1:5">
      <c r="A866" s="2831">
        <v>647</v>
      </c>
      <c r="B866" s="2831" t="s">
        <v>3046</v>
      </c>
      <c r="C866" s="2831">
        <v>4062</v>
      </c>
      <c r="D866" s="2831" t="s">
        <v>3064</v>
      </c>
      <c r="E866" s="2831" t="s">
        <v>2174</v>
      </c>
    </row>
    <row r="867" spans="1:5">
      <c r="A867" s="2831">
        <v>648</v>
      </c>
      <c r="B867" s="2831" t="s">
        <v>3065</v>
      </c>
      <c r="C867" s="2831">
        <v>187</v>
      </c>
      <c r="D867" s="2831" t="s">
        <v>3066</v>
      </c>
      <c r="E867" s="2831" t="s">
        <v>2169</v>
      </c>
    </row>
    <row r="868" spans="1:5">
      <c r="A868" s="2831">
        <v>648</v>
      </c>
      <c r="B868" s="2831" t="s">
        <v>3065</v>
      </c>
      <c r="C868" s="2831">
        <v>5052</v>
      </c>
      <c r="D868" s="2831" t="s">
        <v>3067</v>
      </c>
      <c r="E868" s="2831" t="s">
        <v>2166</v>
      </c>
    </row>
    <row r="869" spans="1:5">
      <c r="A869" s="2831">
        <v>648</v>
      </c>
      <c r="B869" s="2831" t="s">
        <v>3065</v>
      </c>
      <c r="C869" s="2831">
        <v>178</v>
      </c>
      <c r="D869" s="2831" t="s">
        <v>3068</v>
      </c>
      <c r="E869" s="2831" t="s">
        <v>2174</v>
      </c>
    </row>
    <row r="870" spans="1:5">
      <c r="A870" s="2831">
        <v>648</v>
      </c>
      <c r="B870" s="2831" t="s">
        <v>3065</v>
      </c>
      <c r="C870" s="2831">
        <v>2050</v>
      </c>
      <c r="D870" s="2831" t="s">
        <v>3069</v>
      </c>
      <c r="E870" s="2831" t="s">
        <v>2166</v>
      </c>
    </row>
    <row r="871" spans="1:5">
      <c r="A871" s="2831">
        <v>648</v>
      </c>
      <c r="B871" s="2831" t="s">
        <v>3065</v>
      </c>
      <c r="C871" s="2831">
        <v>107</v>
      </c>
      <c r="D871" s="2831" t="s">
        <v>3070</v>
      </c>
      <c r="E871" s="2831" t="s">
        <v>2169</v>
      </c>
    </row>
    <row r="872" spans="1:5">
      <c r="A872" s="2831">
        <v>648</v>
      </c>
      <c r="B872" s="2831" t="s">
        <v>3065</v>
      </c>
      <c r="C872" s="2831">
        <v>198</v>
      </c>
      <c r="D872" s="2831" t="s">
        <v>3071</v>
      </c>
      <c r="E872" s="2831" t="s">
        <v>2174</v>
      </c>
    </row>
    <row r="873" spans="1:5">
      <c r="A873" s="2831">
        <v>648</v>
      </c>
      <c r="B873" s="2831" t="s">
        <v>3065</v>
      </c>
      <c r="C873" s="2831">
        <v>407</v>
      </c>
      <c r="D873" s="2831" t="s">
        <v>3072</v>
      </c>
      <c r="E873" s="2831" t="s">
        <v>2166</v>
      </c>
    </row>
    <row r="874" spans="1:5">
      <c r="A874" s="2831">
        <v>648</v>
      </c>
      <c r="B874" s="2831" t="s">
        <v>3065</v>
      </c>
      <c r="C874" s="2831">
        <v>398</v>
      </c>
      <c r="D874" s="2831" t="s">
        <v>3073</v>
      </c>
      <c r="E874" s="2831" t="s">
        <v>2169</v>
      </c>
    </row>
    <row r="875" spans="1:5">
      <c r="A875" s="2831">
        <v>648</v>
      </c>
      <c r="B875" s="2831" t="s">
        <v>3065</v>
      </c>
      <c r="C875" s="2831">
        <v>208</v>
      </c>
      <c r="D875" s="2831" t="s">
        <v>2929</v>
      </c>
      <c r="E875" s="2831" t="s">
        <v>2169</v>
      </c>
    </row>
    <row r="876" spans="1:5">
      <c r="A876" s="2831">
        <v>648</v>
      </c>
      <c r="B876" s="2831" t="s">
        <v>3065</v>
      </c>
      <c r="C876" s="2831">
        <v>100</v>
      </c>
      <c r="D876" s="2831" t="s">
        <v>3074</v>
      </c>
      <c r="E876" s="2831" t="s">
        <v>2169</v>
      </c>
    </row>
    <row r="877" spans="1:5">
      <c r="A877" s="2831">
        <v>648</v>
      </c>
      <c r="B877" s="2831" t="s">
        <v>3065</v>
      </c>
      <c r="C877" s="2831">
        <v>3550</v>
      </c>
      <c r="D877" s="2831" t="s">
        <v>2930</v>
      </c>
      <c r="E877" s="2831" t="s">
        <v>2166</v>
      </c>
    </row>
    <row r="878" spans="1:5">
      <c r="A878" s="2831">
        <v>648</v>
      </c>
      <c r="B878" s="2831" t="s">
        <v>3065</v>
      </c>
      <c r="C878" s="2831">
        <v>188</v>
      </c>
      <c r="D878" s="2831" t="s">
        <v>3075</v>
      </c>
      <c r="E878" s="2831" t="s">
        <v>2169</v>
      </c>
    </row>
    <row r="879" spans="1:5">
      <c r="A879" s="2831">
        <v>648</v>
      </c>
      <c r="B879" s="2831" t="s">
        <v>3065</v>
      </c>
      <c r="C879" s="2831">
        <v>184</v>
      </c>
      <c r="D879" s="2831" t="s">
        <v>3076</v>
      </c>
      <c r="E879" s="2831" t="s">
        <v>2166</v>
      </c>
    </row>
    <row r="880" spans="1:5">
      <c r="A880" s="2831">
        <v>648</v>
      </c>
      <c r="B880" s="2831" t="s">
        <v>3065</v>
      </c>
      <c r="C880" s="2831">
        <v>4050</v>
      </c>
      <c r="D880" s="2831" t="s">
        <v>3077</v>
      </c>
      <c r="E880" s="2831" t="s">
        <v>2166</v>
      </c>
    </row>
    <row r="881" spans="1:5">
      <c r="A881" s="2831">
        <v>648</v>
      </c>
      <c r="B881" s="2831" t="s">
        <v>3065</v>
      </c>
      <c r="C881" s="2831">
        <v>498</v>
      </c>
      <c r="D881" s="2831" t="s">
        <v>2790</v>
      </c>
      <c r="E881" s="2831" t="s">
        <v>2169</v>
      </c>
    </row>
    <row r="882" spans="1:5">
      <c r="A882" s="2831">
        <v>648</v>
      </c>
      <c r="B882" s="2831" t="s">
        <v>3065</v>
      </c>
      <c r="C882" s="2831">
        <v>213</v>
      </c>
      <c r="D882" s="2831" t="s">
        <v>3078</v>
      </c>
      <c r="E882" s="2831" t="s">
        <v>2166</v>
      </c>
    </row>
    <row r="883" spans="1:5">
      <c r="A883" s="2831">
        <v>648</v>
      </c>
      <c r="B883" s="2831" t="s">
        <v>3065</v>
      </c>
      <c r="C883" s="2831">
        <v>108</v>
      </c>
      <c r="D883" s="2831" t="s">
        <v>3079</v>
      </c>
      <c r="E883" s="2831" t="s">
        <v>2169</v>
      </c>
    </row>
    <row r="884" spans="1:5">
      <c r="A884" s="2831">
        <v>648</v>
      </c>
      <c r="B884" s="2831" t="s">
        <v>3065</v>
      </c>
      <c r="C884" s="2831">
        <v>180</v>
      </c>
      <c r="D884" s="2831" t="s">
        <v>3080</v>
      </c>
      <c r="E884" s="2831" t="s">
        <v>2169</v>
      </c>
    </row>
    <row r="885" spans="1:5">
      <c r="A885" s="2831">
        <v>648</v>
      </c>
      <c r="B885" s="2831" t="s">
        <v>3065</v>
      </c>
      <c r="C885" s="2831">
        <v>200</v>
      </c>
      <c r="D885" s="2831" t="s">
        <v>2546</v>
      </c>
      <c r="E885" s="2831" t="s">
        <v>2169</v>
      </c>
    </row>
    <row r="886" spans="1:5">
      <c r="A886" s="2831">
        <v>648</v>
      </c>
      <c r="B886" s="2831" t="s">
        <v>3065</v>
      </c>
      <c r="C886" s="2831">
        <v>175</v>
      </c>
      <c r="D886" s="2831" t="s">
        <v>3081</v>
      </c>
      <c r="E886" s="2831" t="s">
        <v>2166</v>
      </c>
    </row>
    <row r="887" spans="1:5">
      <c r="A887" s="2831">
        <v>648</v>
      </c>
      <c r="B887" s="2831" t="s">
        <v>3065</v>
      </c>
      <c r="C887" s="2831">
        <v>3052</v>
      </c>
      <c r="D887" s="2831" t="s">
        <v>3082</v>
      </c>
      <c r="E887" s="2831" t="s">
        <v>2169</v>
      </c>
    </row>
    <row r="888" spans="1:5">
      <c r="A888" s="2831">
        <v>648</v>
      </c>
      <c r="B888" s="2831" t="s">
        <v>3065</v>
      </c>
      <c r="C888" s="2831">
        <v>112</v>
      </c>
      <c r="D888" s="2831" t="s">
        <v>3083</v>
      </c>
      <c r="E888" s="2831" t="s">
        <v>2169</v>
      </c>
    </row>
    <row r="889" spans="1:5">
      <c r="A889" s="2831">
        <v>648</v>
      </c>
      <c r="B889" s="2831" t="s">
        <v>3065</v>
      </c>
      <c r="C889" s="2831">
        <v>113</v>
      </c>
      <c r="D889" s="2831" t="s">
        <v>3084</v>
      </c>
      <c r="E889" s="2831" t="s">
        <v>2174</v>
      </c>
    </row>
    <row r="890" spans="1:5">
      <c r="A890" s="2831">
        <v>648</v>
      </c>
      <c r="B890" s="2831" t="s">
        <v>3065</v>
      </c>
      <c r="C890" s="2831">
        <v>303</v>
      </c>
      <c r="D890" s="2831" t="s">
        <v>3085</v>
      </c>
      <c r="E890" s="2831" t="s">
        <v>2169</v>
      </c>
    </row>
    <row r="891" spans="1:5">
      <c r="A891" s="2831">
        <v>648</v>
      </c>
      <c r="B891" s="2831" t="s">
        <v>3065</v>
      </c>
      <c r="C891" s="2831">
        <v>4052</v>
      </c>
      <c r="D891" s="2831" t="s">
        <v>3086</v>
      </c>
      <c r="E891" s="2831" t="s">
        <v>2174</v>
      </c>
    </row>
    <row r="892" spans="1:5">
      <c r="A892" s="2831">
        <v>648</v>
      </c>
      <c r="B892" s="2831" t="s">
        <v>3065</v>
      </c>
      <c r="C892" s="2831">
        <v>203</v>
      </c>
      <c r="D892" s="2831" t="s">
        <v>3087</v>
      </c>
      <c r="E892" s="2831" t="s">
        <v>2174</v>
      </c>
    </row>
    <row r="893" spans="1:5">
      <c r="A893" s="2831">
        <v>648</v>
      </c>
      <c r="B893" s="2831" t="s">
        <v>3065</v>
      </c>
      <c r="C893" s="2831">
        <v>212</v>
      </c>
      <c r="D893" s="2831" t="s">
        <v>3088</v>
      </c>
      <c r="E893" s="2831" t="s">
        <v>2166</v>
      </c>
    </row>
    <row r="894" spans="1:5">
      <c r="A894" s="2831">
        <v>648</v>
      </c>
      <c r="B894" s="2831" t="s">
        <v>3065</v>
      </c>
      <c r="C894" s="2831">
        <v>104</v>
      </c>
      <c r="D894" s="2831" t="s">
        <v>3089</v>
      </c>
      <c r="E894" s="2831" t="s">
        <v>2174</v>
      </c>
    </row>
    <row r="895" spans="1:5">
      <c r="A895" s="2831">
        <v>648</v>
      </c>
      <c r="B895" s="2831" t="s">
        <v>3065</v>
      </c>
      <c r="C895" s="2831">
        <v>193</v>
      </c>
      <c r="D895" s="2831" t="s">
        <v>3090</v>
      </c>
      <c r="E895" s="2831" t="s">
        <v>2174</v>
      </c>
    </row>
    <row r="896" spans="1:5">
      <c r="A896" s="2831">
        <v>648</v>
      </c>
      <c r="B896" s="2831" t="s">
        <v>3065</v>
      </c>
      <c r="C896" s="2831">
        <v>5050</v>
      </c>
      <c r="D896" s="2831" t="s">
        <v>3091</v>
      </c>
      <c r="E896" s="2831" t="s">
        <v>2174</v>
      </c>
    </row>
    <row r="897" spans="1:5">
      <c r="A897" s="2831">
        <v>648</v>
      </c>
      <c r="B897" s="2831" t="s">
        <v>3065</v>
      </c>
      <c r="C897" s="2831">
        <v>298</v>
      </c>
      <c r="D897" s="2831" t="s">
        <v>3092</v>
      </c>
      <c r="E897" s="2831" t="s">
        <v>2166</v>
      </c>
    </row>
    <row r="898" spans="1:5">
      <c r="A898" s="2831">
        <v>648</v>
      </c>
      <c r="B898" s="2831" t="s">
        <v>3065</v>
      </c>
      <c r="C898" s="2831">
        <v>2054</v>
      </c>
      <c r="D898" s="2831" t="s">
        <v>3093</v>
      </c>
      <c r="E898" s="2831" t="s">
        <v>2169</v>
      </c>
    </row>
    <row r="899" spans="1:5">
      <c r="A899" s="2831">
        <v>648</v>
      </c>
      <c r="B899" s="2831" t="s">
        <v>3065</v>
      </c>
      <c r="C899" s="2831">
        <v>1054</v>
      </c>
      <c r="D899" s="2831" t="s">
        <v>3094</v>
      </c>
      <c r="E899" s="2831" t="s">
        <v>2174</v>
      </c>
    </row>
    <row r="900" spans="1:5">
      <c r="A900" s="2831">
        <v>648</v>
      </c>
      <c r="B900" s="2831" t="s">
        <v>3065</v>
      </c>
      <c r="C900" s="2831">
        <v>103</v>
      </c>
      <c r="D900" s="2831" t="s">
        <v>3095</v>
      </c>
      <c r="E900" s="2831" t="s">
        <v>2169</v>
      </c>
    </row>
    <row r="901" spans="1:5">
      <c r="A901" s="2831">
        <v>774</v>
      </c>
      <c r="B901" s="2831" t="s">
        <v>3096</v>
      </c>
      <c r="C901" s="2831">
        <v>211</v>
      </c>
      <c r="D901" s="2831" t="s">
        <v>3097</v>
      </c>
      <c r="E901" s="2831" t="s">
        <v>2166</v>
      </c>
    </row>
    <row r="902" spans="1:5">
      <c r="A902" s="2831">
        <v>774</v>
      </c>
      <c r="B902" s="2831" t="s">
        <v>3096</v>
      </c>
      <c r="C902" s="2831">
        <v>102</v>
      </c>
      <c r="D902" s="2831" t="s">
        <v>3098</v>
      </c>
      <c r="E902" s="2831" t="s">
        <v>2166</v>
      </c>
    </row>
    <row r="903" spans="1:5">
      <c r="A903" s="2831">
        <v>774</v>
      </c>
      <c r="B903" s="2831" t="s">
        <v>3096</v>
      </c>
      <c r="C903" s="2831">
        <v>112</v>
      </c>
      <c r="D903" s="2831" t="s">
        <v>3099</v>
      </c>
      <c r="E903" s="2831" t="s">
        <v>2174</v>
      </c>
    </row>
    <row r="904" spans="1:5">
      <c r="A904" s="2831">
        <v>774</v>
      </c>
      <c r="B904" s="2831" t="s">
        <v>3096</v>
      </c>
      <c r="C904" s="2831">
        <v>412</v>
      </c>
      <c r="D904" s="2831" t="s">
        <v>3100</v>
      </c>
      <c r="E904" s="2831" t="s">
        <v>2166</v>
      </c>
    </row>
    <row r="905" spans="1:5">
      <c r="A905" s="2831">
        <v>774</v>
      </c>
      <c r="B905" s="2831" t="s">
        <v>3096</v>
      </c>
      <c r="C905" s="2831">
        <v>312</v>
      </c>
      <c r="D905" s="2831" t="s">
        <v>3101</v>
      </c>
      <c r="E905" s="2831" t="s">
        <v>2174</v>
      </c>
    </row>
    <row r="906" spans="1:5">
      <c r="A906" s="2831">
        <v>649</v>
      </c>
      <c r="B906" s="2831" t="s">
        <v>3102</v>
      </c>
      <c r="C906" s="2831">
        <v>194</v>
      </c>
      <c r="D906" s="2831" t="s">
        <v>3103</v>
      </c>
      <c r="E906" s="2831" t="s">
        <v>2166</v>
      </c>
    </row>
    <row r="907" spans="1:5">
      <c r="A907" s="2831">
        <v>649</v>
      </c>
      <c r="B907" s="2831" t="s">
        <v>3102</v>
      </c>
      <c r="C907" s="2831">
        <v>2050</v>
      </c>
      <c r="D907" s="2831" t="s">
        <v>3104</v>
      </c>
      <c r="E907" s="2831" t="s">
        <v>2169</v>
      </c>
    </row>
    <row r="908" spans="1:5">
      <c r="A908" s="2831">
        <v>649</v>
      </c>
      <c r="B908" s="2831" t="s">
        <v>3102</v>
      </c>
      <c r="C908" s="2831">
        <v>197</v>
      </c>
      <c r="D908" s="2831" t="s">
        <v>3105</v>
      </c>
      <c r="E908" s="2831" t="s">
        <v>2169</v>
      </c>
    </row>
    <row r="909" spans="1:5">
      <c r="A909" s="2831">
        <v>650</v>
      </c>
      <c r="B909" s="2831" t="s">
        <v>3106</v>
      </c>
      <c r="C909" s="2831">
        <v>112</v>
      </c>
      <c r="D909" s="2831" t="s">
        <v>3107</v>
      </c>
      <c r="E909" s="2831" t="s">
        <v>2166</v>
      </c>
    </row>
    <row r="910" spans="1:5">
      <c r="A910" s="2831">
        <v>650</v>
      </c>
      <c r="B910" s="2831" t="s">
        <v>3106</v>
      </c>
      <c r="C910" s="2831">
        <v>1050</v>
      </c>
      <c r="D910" s="2831" t="s">
        <v>3108</v>
      </c>
      <c r="E910" s="2831" t="s">
        <v>2166</v>
      </c>
    </row>
    <row r="911" spans="1:5">
      <c r="A911" s="2831">
        <v>651</v>
      </c>
      <c r="B911" s="2831" t="s">
        <v>3109</v>
      </c>
      <c r="C911" s="2831">
        <v>107</v>
      </c>
      <c r="D911" s="2831" t="s">
        <v>3110</v>
      </c>
      <c r="E911" s="2831" t="s">
        <v>2174</v>
      </c>
    </row>
    <row r="912" spans="1:5">
      <c r="A912" s="2831">
        <v>651</v>
      </c>
      <c r="B912" s="2831" t="s">
        <v>3109</v>
      </c>
      <c r="C912" s="2831">
        <v>296</v>
      </c>
      <c r="D912" s="2831" t="s">
        <v>3111</v>
      </c>
      <c r="E912" s="2831" t="s">
        <v>2166</v>
      </c>
    </row>
    <row r="913" spans="1:5">
      <c r="A913" s="2831">
        <v>651</v>
      </c>
      <c r="B913" s="2831" t="s">
        <v>3109</v>
      </c>
      <c r="C913" s="2831">
        <v>203</v>
      </c>
      <c r="D913" s="2831" t="s">
        <v>3112</v>
      </c>
      <c r="E913" s="2831" t="s">
        <v>2174</v>
      </c>
    </row>
    <row r="914" spans="1:5">
      <c r="A914" s="2831">
        <v>651</v>
      </c>
      <c r="B914" s="2831" t="s">
        <v>3109</v>
      </c>
      <c r="C914" s="2831">
        <v>390</v>
      </c>
      <c r="D914" s="2831" t="s">
        <v>3113</v>
      </c>
      <c r="E914" s="2831" t="s">
        <v>2166</v>
      </c>
    </row>
    <row r="915" spans="1:5">
      <c r="A915" s="2831">
        <v>651</v>
      </c>
      <c r="B915" s="2831" t="s">
        <v>3109</v>
      </c>
      <c r="C915" s="2831">
        <v>290</v>
      </c>
      <c r="D915" s="2831" t="s">
        <v>3114</v>
      </c>
      <c r="E915" s="2831" t="s">
        <v>2174</v>
      </c>
    </row>
    <row r="916" spans="1:5">
      <c r="A916" s="2831">
        <v>651</v>
      </c>
      <c r="B916" s="2831" t="s">
        <v>3109</v>
      </c>
      <c r="C916" s="2831">
        <v>190</v>
      </c>
      <c r="D916" s="2831" t="s">
        <v>3115</v>
      </c>
      <c r="E916" s="2831" t="s">
        <v>2166</v>
      </c>
    </row>
    <row r="917" spans="1:5">
      <c r="A917" s="2831">
        <v>651</v>
      </c>
      <c r="B917" s="2831" t="s">
        <v>3109</v>
      </c>
      <c r="C917" s="2831">
        <v>105</v>
      </c>
      <c r="D917" s="2831" t="s">
        <v>3116</v>
      </c>
      <c r="E917" s="2831" t="s">
        <v>2174</v>
      </c>
    </row>
    <row r="918" spans="1:5">
      <c r="A918" s="2831">
        <v>651</v>
      </c>
      <c r="B918" s="2831" t="s">
        <v>3109</v>
      </c>
      <c r="C918" s="2831">
        <v>4050</v>
      </c>
      <c r="D918" s="2831" t="s">
        <v>3117</v>
      </c>
      <c r="E918" s="2831" t="s">
        <v>2174</v>
      </c>
    </row>
    <row r="919" spans="1:5">
      <c r="A919" s="2831">
        <v>651</v>
      </c>
      <c r="B919" s="2831" t="s">
        <v>3109</v>
      </c>
      <c r="C919" s="2831">
        <v>196</v>
      </c>
      <c r="D919" s="2831" t="s">
        <v>2477</v>
      </c>
      <c r="E919" s="2831" t="s">
        <v>2174</v>
      </c>
    </row>
    <row r="920" spans="1:5">
      <c r="A920" s="2831">
        <v>651</v>
      </c>
      <c r="B920" s="2831" t="s">
        <v>3109</v>
      </c>
      <c r="C920" s="2831">
        <v>186</v>
      </c>
      <c r="D920" s="2831" t="s">
        <v>3118</v>
      </c>
      <c r="E920" s="2831" t="s">
        <v>2174</v>
      </c>
    </row>
    <row r="921" spans="1:5">
      <c r="A921" s="2831">
        <v>651</v>
      </c>
      <c r="B921" s="2831" t="s">
        <v>3109</v>
      </c>
      <c r="C921" s="2831">
        <v>197</v>
      </c>
      <c r="D921" s="2831" t="s">
        <v>3119</v>
      </c>
      <c r="E921" s="2831" t="s">
        <v>2166</v>
      </c>
    </row>
    <row r="922" spans="1:5">
      <c r="A922" s="2831">
        <v>651</v>
      </c>
      <c r="B922" s="2831" t="s">
        <v>3109</v>
      </c>
      <c r="C922" s="2831">
        <v>297</v>
      </c>
      <c r="D922" s="2831" t="s">
        <v>3120</v>
      </c>
      <c r="E922" s="2831" t="s">
        <v>2174</v>
      </c>
    </row>
    <row r="923" spans="1:5">
      <c r="A923" s="2831">
        <v>651</v>
      </c>
      <c r="B923" s="2831" t="s">
        <v>3109</v>
      </c>
      <c r="C923" s="2831">
        <v>103</v>
      </c>
      <c r="D923" s="2831" t="s">
        <v>3121</v>
      </c>
      <c r="E923" s="2831" t="s">
        <v>2174</v>
      </c>
    </row>
    <row r="924" spans="1:5">
      <c r="A924" s="2831">
        <v>652</v>
      </c>
      <c r="B924" s="2831" t="s">
        <v>3122</v>
      </c>
      <c r="C924" s="2831">
        <v>313</v>
      </c>
      <c r="D924" s="2831" t="s">
        <v>3123</v>
      </c>
      <c r="E924" s="2831" t="s">
        <v>2174</v>
      </c>
    </row>
    <row r="925" spans="1:5">
      <c r="A925" s="2831">
        <v>652</v>
      </c>
      <c r="B925" s="2831" t="s">
        <v>3122</v>
      </c>
      <c r="C925" s="2831">
        <v>176</v>
      </c>
      <c r="D925" s="2831" t="s">
        <v>3124</v>
      </c>
      <c r="E925" s="2831" t="s">
        <v>2169</v>
      </c>
    </row>
    <row r="926" spans="1:5">
      <c r="A926" s="2831">
        <v>652</v>
      </c>
      <c r="B926" s="2831" t="s">
        <v>3122</v>
      </c>
      <c r="C926" s="2831">
        <v>104</v>
      </c>
      <c r="D926" s="2831" t="s">
        <v>3125</v>
      </c>
      <c r="E926" s="2831" t="s">
        <v>2169</v>
      </c>
    </row>
    <row r="927" spans="1:5">
      <c r="A927" s="2831">
        <v>652</v>
      </c>
      <c r="B927" s="2831" t="s">
        <v>3122</v>
      </c>
      <c r="C927" s="2831">
        <v>213</v>
      </c>
      <c r="D927" s="2831" t="s">
        <v>3126</v>
      </c>
      <c r="E927" s="2831" t="s">
        <v>2174</v>
      </c>
    </row>
    <row r="928" spans="1:5">
      <c r="A928" s="2831">
        <v>653</v>
      </c>
      <c r="B928" s="2831" t="s">
        <v>3127</v>
      </c>
      <c r="C928" s="2831">
        <v>2050</v>
      </c>
      <c r="D928" s="2831" t="s">
        <v>3128</v>
      </c>
      <c r="E928" s="2831" t="s">
        <v>2166</v>
      </c>
    </row>
    <row r="929" spans="1:5">
      <c r="A929" s="2831">
        <v>653</v>
      </c>
      <c r="B929" s="2831" t="s">
        <v>3127</v>
      </c>
      <c r="C929" s="2831">
        <v>198</v>
      </c>
      <c r="D929" s="2831" t="s">
        <v>3129</v>
      </c>
      <c r="E929" s="2831" t="s">
        <v>2166</v>
      </c>
    </row>
    <row r="930" spans="1:5">
      <c r="A930" s="2831">
        <v>653</v>
      </c>
      <c r="B930" s="2831" t="s">
        <v>3127</v>
      </c>
      <c r="C930" s="2831">
        <v>189</v>
      </c>
      <c r="D930" s="2831" t="s">
        <v>3130</v>
      </c>
      <c r="E930" s="2831" t="s">
        <v>2174</v>
      </c>
    </row>
    <row r="931" spans="1:5">
      <c r="A931" s="2831">
        <v>653</v>
      </c>
      <c r="B931" s="2831" t="s">
        <v>3127</v>
      </c>
      <c r="C931" s="2831">
        <v>192</v>
      </c>
      <c r="D931" s="2831" t="s">
        <v>3131</v>
      </c>
      <c r="E931" s="2831" t="s">
        <v>2166</v>
      </c>
    </row>
    <row r="932" spans="1:5">
      <c r="A932" s="2831">
        <v>653</v>
      </c>
      <c r="B932" s="2831" t="s">
        <v>3127</v>
      </c>
      <c r="C932" s="2831">
        <v>196</v>
      </c>
      <c r="D932" s="2831" t="s">
        <v>3132</v>
      </c>
      <c r="E932" s="2831" t="s">
        <v>2166</v>
      </c>
    </row>
    <row r="933" spans="1:5">
      <c r="A933" s="2831">
        <v>653</v>
      </c>
      <c r="B933" s="2831" t="s">
        <v>3127</v>
      </c>
      <c r="C933" s="2831">
        <v>100</v>
      </c>
      <c r="D933" s="2831" t="s">
        <v>3133</v>
      </c>
      <c r="E933" s="2831" t="s">
        <v>2166</v>
      </c>
    </row>
    <row r="934" spans="1:5">
      <c r="A934" s="2831">
        <v>654</v>
      </c>
      <c r="B934" s="2831" t="s">
        <v>3134</v>
      </c>
      <c r="C934" s="2831">
        <v>196</v>
      </c>
      <c r="D934" s="2831" t="s">
        <v>3135</v>
      </c>
      <c r="E934" s="2831" t="s">
        <v>2169</v>
      </c>
    </row>
    <row r="935" spans="1:5">
      <c r="A935" s="2831">
        <v>654</v>
      </c>
      <c r="B935" s="2831" t="s">
        <v>3134</v>
      </c>
      <c r="C935" s="2831">
        <v>2050</v>
      </c>
      <c r="D935" s="2831" t="s">
        <v>3136</v>
      </c>
      <c r="E935" s="2831" t="s">
        <v>2169</v>
      </c>
    </row>
    <row r="936" spans="1:5">
      <c r="A936" s="2831">
        <v>654</v>
      </c>
      <c r="B936" s="2831" t="s">
        <v>3134</v>
      </c>
      <c r="C936" s="2831">
        <v>3050</v>
      </c>
      <c r="D936" s="2831" t="s">
        <v>3137</v>
      </c>
      <c r="E936" s="2831" t="s">
        <v>2166</v>
      </c>
    </row>
    <row r="937" spans="1:5">
      <c r="A937" s="2831">
        <v>654</v>
      </c>
      <c r="B937" s="2831" t="s">
        <v>3134</v>
      </c>
      <c r="C937" s="2831">
        <v>197</v>
      </c>
      <c r="D937" s="2831" t="s">
        <v>3138</v>
      </c>
      <c r="E937" s="2831" t="s">
        <v>2166</v>
      </c>
    </row>
    <row r="938" spans="1:5">
      <c r="A938" s="2831">
        <v>655</v>
      </c>
      <c r="B938" s="2831" t="s">
        <v>3139</v>
      </c>
      <c r="C938" s="2831">
        <v>1050</v>
      </c>
      <c r="D938" s="2831" t="s">
        <v>2814</v>
      </c>
      <c r="E938" s="2831" t="s">
        <v>2166</v>
      </c>
    </row>
    <row r="939" spans="1:5">
      <c r="A939" s="2831">
        <v>655</v>
      </c>
      <c r="B939" s="2831" t="s">
        <v>3139</v>
      </c>
      <c r="C939" s="2831">
        <v>194</v>
      </c>
      <c r="D939" s="2831" t="s">
        <v>3140</v>
      </c>
      <c r="E939" s="2831" t="s">
        <v>2166</v>
      </c>
    </row>
    <row r="940" spans="1:5">
      <c r="A940" s="2831">
        <v>655</v>
      </c>
      <c r="B940" s="2831" t="s">
        <v>3139</v>
      </c>
      <c r="C940" s="2831">
        <v>176</v>
      </c>
      <c r="D940" s="2831" t="s">
        <v>3141</v>
      </c>
      <c r="E940" s="2831" t="s">
        <v>2166</v>
      </c>
    </row>
    <row r="941" spans="1:5">
      <c r="A941" s="2831">
        <v>655</v>
      </c>
      <c r="B941" s="2831" t="s">
        <v>3139</v>
      </c>
      <c r="C941" s="2831">
        <v>193</v>
      </c>
      <c r="D941" s="2831" t="s">
        <v>3142</v>
      </c>
      <c r="E941" s="2831" t="s">
        <v>2169</v>
      </c>
    </row>
    <row r="942" spans="1:5">
      <c r="A942" s="2831">
        <v>655</v>
      </c>
      <c r="B942" s="2831" t="s">
        <v>3139</v>
      </c>
      <c r="C942" s="2831">
        <v>293</v>
      </c>
      <c r="D942" s="2831" t="s">
        <v>3143</v>
      </c>
      <c r="E942" s="2831" t="s">
        <v>2174</v>
      </c>
    </row>
    <row r="943" spans="1:5">
      <c r="A943" s="2831">
        <v>656</v>
      </c>
      <c r="B943" s="2831" t="s">
        <v>3144</v>
      </c>
      <c r="C943" s="2831">
        <v>108</v>
      </c>
      <c r="D943" s="2831" t="s">
        <v>3145</v>
      </c>
      <c r="E943" s="2831" t="s">
        <v>2174</v>
      </c>
    </row>
    <row r="944" spans="1:5">
      <c r="A944" s="2831">
        <v>656</v>
      </c>
      <c r="B944" s="2831" t="s">
        <v>3144</v>
      </c>
      <c r="C944" s="2831">
        <v>191</v>
      </c>
      <c r="D944" s="2831" t="s">
        <v>3146</v>
      </c>
      <c r="E944" s="2831" t="s">
        <v>2166</v>
      </c>
    </row>
    <row r="945" spans="1:5">
      <c r="A945" s="2831">
        <v>656</v>
      </c>
      <c r="B945" s="2831" t="s">
        <v>3144</v>
      </c>
      <c r="C945" s="2831">
        <v>102</v>
      </c>
      <c r="D945" s="2831" t="s">
        <v>3147</v>
      </c>
      <c r="E945" s="2831" t="s">
        <v>2174</v>
      </c>
    </row>
    <row r="946" spans="1:5">
      <c r="A946" s="2831">
        <v>656</v>
      </c>
      <c r="B946" s="2831" t="s">
        <v>3144</v>
      </c>
      <c r="C946" s="2831">
        <v>104</v>
      </c>
      <c r="D946" s="2831" t="s">
        <v>3148</v>
      </c>
      <c r="E946" s="2831" t="s">
        <v>2166</v>
      </c>
    </row>
    <row r="947" spans="1:5">
      <c r="A947" s="2831">
        <v>656</v>
      </c>
      <c r="B947" s="2831" t="s">
        <v>3144</v>
      </c>
      <c r="C947" s="2831">
        <v>398</v>
      </c>
      <c r="D947" s="2831" t="s">
        <v>3149</v>
      </c>
      <c r="E947" s="2831" t="s">
        <v>2166</v>
      </c>
    </row>
    <row r="948" spans="1:5">
      <c r="A948" s="2831">
        <v>656</v>
      </c>
      <c r="B948" s="2831" t="s">
        <v>3144</v>
      </c>
      <c r="C948" s="2831">
        <v>402</v>
      </c>
      <c r="D948" s="2831" t="s">
        <v>3150</v>
      </c>
      <c r="E948" s="2831" t="s">
        <v>2174</v>
      </c>
    </row>
    <row r="949" spans="1:5">
      <c r="A949" s="2831">
        <v>656</v>
      </c>
      <c r="B949" s="2831" t="s">
        <v>3144</v>
      </c>
      <c r="C949" s="2831">
        <v>491</v>
      </c>
      <c r="D949" s="2831" t="s">
        <v>3151</v>
      </c>
      <c r="E949" s="2831" t="s">
        <v>2174</v>
      </c>
    </row>
    <row r="950" spans="1:5">
      <c r="A950" s="2831">
        <v>656</v>
      </c>
      <c r="B950" s="2831" t="s">
        <v>3144</v>
      </c>
      <c r="C950" s="2831">
        <v>180</v>
      </c>
      <c r="D950" s="2831" t="s">
        <v>3152</v>
      </c>
      <c r="E950" s="2831" t="s">
        <v>2166</v>
      </c>
    </row>
    <row r="951" spans="1:5">
      <c r="A951" s="2831">
        <v>656</v>
      </c>
      <c r="B951" s="2831" t="s">
        <v>3144</v>
      </c>
      <c r="C951" s="2831">
        <v>111</v>
      </c>
      <c r="D951" s="2831" t="s">
        <v>3153</v>
      </c>
      <c r="E951" s="2831" t="s">
        <v>2166</v>
      </c>
    </row>
    <row r="952" spans="1:5">
      <c r="A952" s="2831">
        <v>656</v>
      </c>
      <c r="B952" s="2831" t="s">
        <v>3144</v>
      </c>
      <c r="C952" s="2831">
        <v>178</v>
      </c>
      <c r="D952" s="2831" t="s">
        <v>3154</v>
      </c>
      <c r="E952" s="2831" t="s">
        <v>2166</v>
      </c>
    </row>
    <row r="953" spans="1:5">
      <c r="A953" s="2831">
        <v>656</v>
      </c>
      <c r="B953" s="2831" t="s">
        <v>3144</v>
      </c>
      <c r="C953" s="2831">
        <v>196</v>
      </c>
      <c r="D953" s="2831" t="s">
        <v>3155</v>
      </c>
      <c r="E953" s="2831" t="s">
        <v>2166</v>
      </c>
    </row>
    <row r="954" spans="1:5">
      <c r="A954" s="2831">
        <v>656</v>
      </c>
      <c r="B954" s="2831" t="s">
        <v>3144</v>
      </c>
      <c r="C954" s="2831">
        <v>182</v>
      </c>
      <c r="D954" s="2831" t="s">
        <v>3156</v>
      </c>
      <c r="E954" s="2831" t="s">
        <v>2166</v>
      </c>
    </row>
    <row r="955" spans="1:5">
      <c r="A955" s="2831">
        <v>656</v>
      </c>
      <c r="B955" s="2831" t="s">
        <v>3144</v>
      </c>
      <c r="C955" s="2831">
        <v>181</v>
      </c>
      <c r="D955" s="2831" t="s">
        <v>3157</v>
      </c>
      <c r="E955" s="2831" t="s">
        <v>2174</v>
      </c>
    </row>
    <row r="956" spans="1:5">
      <c r="A956" s="2831">
        <v>656</v>
      </c>
      <c r="B956" s="2831" t="s">
        <v>3144</v>
      </c>
      <c r="C956" s="2831">
        <v>186</v>
      </c>
      <c r="D956" s="2831" t="s">
        <v>2555</v>
      </c>
      <c r="E956" s="2831" t="s">
        <v>2174</v>
      </c>
    </row>
    <row r="957" spans="1:5">
      <c r="A957" s="2831">
        <v>656</v>
      </c>
      <c r="B957" s="2831" t="s">
        <v>3144</v>
      </c>
      <c r="C957" s="2831">
        <v>1052</v>
      </c>
      <c r="D957" s="2831" t="s">
        <v>3158</v>
      </c>
      <c r="E957" s="2831" t="s">
        <v>2174</v>
      </c>
    </row>
    <row r="958" spans="1:5">
      <c r="A958" s="2831">
        <v>656</v>
      </c>
      <c r="B958" s="2831" t="s">
        <v>3144</v>
      </c>
      <c r="C958" s="2831">
        <v>199</v>
      </c>
      <c r="D958" s="2831" t="s">
        <v>3159</v>
      </c>
      <c r="E958" s="2831" t="s">
        <v>2166</v>
      </c>
    </row>
    <row r="959" spans="1:5">
      <c r="A959" s="2831">
        <v>656</v>
      </c>
      <c r="B959" s="2831" t="s">
        <v>3144</v>
      </c>
      <c r="C959" s="2831">
        <v>298</v>
      </c>
      <c r="D959" s="2831" t="s">
        <v>3160</v>
      </c>
      <c r="E959" s="2831" t="s">
        <v>2174</v>
      </c>
    </row>
    <row r="960" spans="1:5">
      <c r="A960" s="2831">
        <v>656</v>
      </c>
      <c r="B960" s="2831" t="s">
        <v>3144</v>
      </c>
      <c r="C960" s="2831">
        <v>291</v>
      </c>
      <c r="D960" s="2831" t="s">
        <v>3161</v>
      </c>
      <c r="E960" s="2831" t="s">
        <v>2174</v>
      </c>
    </row>
    <row r="961" spans="1:5">
      <c r="A961" s="2831">
        <v>656</v>
      </c>
      <c r="B961" s="2831" t="s">
        <v>3144</v>
      </c>
      <c r="C961" s="2831">
        <v>192</v>
      </c>
      <c r="D961" s="2831" t="s">
        <v>3162</v>
      </c>
      <c r="E961" s="2831" t="s">
        <v>2166</v>
      </c>
    </row>
    <row r="962" spans="1:5">
      <c r="A962" s="2831">
        <v>656</v>
      </c>
      <c r="B962" s="2831" t="s">
        <v>3144</v>
      </c>
      <c r="C962" s="2831">
        <v>103</v>
      </c>
      <c r="D962" s="2831" t="s">
        <v>3163</v>
      </c>
      <c r="E962" s="2831" t="s">
        <v>2169</v>
      </c>
    </row>
    <row r="963" spans="1:5">
      <c r="A963" s="2831">
        <v>656</v>
      </c>
      <c r="B963" s="2831" t="s">
        <v>3144</v>
      </c>
      <c r="C963" s="2831">
        <v>296</v>
      </c>
      <c r="D963" s="2831" t="s">
        <v>3164</v>
      </c>
      <c r="E963" s="2831" t="s">
        <v>2174</v>
      </c>
    </row>
    <row r="964" spans="1:5">
      <c r="A964" s="2831">
        <v>656</v>
      </c>
      <c r="B964" s="2831" t="s">
        <v>3144</v>
      </c>
      <c r="C964" s="2831">
        <v>198</v>
      </c>
      <c r="D964" s="2831" t="s">
        <v>3165</v>
      </c>
      <c r="E964" s="2831" t="s">
        <v>2166</v>
      </c>
    </row>
    <row r="965" spans="1:5">
      <c r="A965" s="2831">
        <v>656</v>
      </c>
      <c r="B965" s="2831" t="s">
        <v>3144</v>
      </c>
      <c r="C965" s="2831">
        <v>105</v>
      </c>
      <c r="D965" s="2831" t="s">
        <v>3166</v>
      </c>
      <c r="E965" s="2831" t="s">
        <v>2174</v>
      </c>
    </row>
    <row r="966" spans="1:5">
      <c r="A966" s="2831">
        <v>656</v>
      </c>
      <c r="B966" s="2831" t="s">
        <v>3144</v>
      </c>
      <c r="C966" s="2831">
        <v>391</v>
      </c>
      <c r="D966" s="2831" t="s">
        <v>3167</v>
      </c>
      <c r="E966" s="2831" t="s">
        <v>2174</v>
      </c>
    </row>
    <row r="967" spans="1:5">
      <c r="A967" s="2831">
        <v>657</v>
      </c>
      <c r="B967" s="2831" t="s">
        <v>3168</v>
      </c>
      <c r="C967" s="2831">
        <v>1050</v>
      </c>
      <c r="D967" s="2831" t="s">
        <v>3169</v>
      </c>
      <c r="E967" s="2831" t="s">
        <v>2169</v>
      </c>
    </row>
    <row r="968" spans="1:5">
      <c r="A968" s="2831">
        <v>657</v>
      </c>
      <c r="B968" s="2831" t="s">
        <v>3168</v>
      </c>
      <c r="C968" s="2831">
        <v>402</v>
      </c>
      <c r="D968" s="2831" t="s">
        <v>3170</v>
      </c>
      <c r="E968" s="2831" t="s">
        <v>2169</v>
      </c>
    </row>
    <row r="969" spans="1:5">
      <c r="A969" s="2831">
        <v>657</v>
      </c>
      <c r="B969" s="2831" t="s">
        <v>3168</v>
      </c>
      <c r="C969" s="2831">
        <v>401</v>
      </c>
      <c r="D969" s="2831" t="s">
        <v>3171</v>
      </c>
      <c r="E969" s="2831" t="s">
        <v>2174</v>
      </c>
    </row>
    <row r="970" spans="1:5">
      <c r="A970" s="2831">
        <v>657</v>
      </c>
      <c r="B970" s="2831" t="s">
        <v>3168</v>
      </c>
      <c r="C970" s="2831">
        <v>195</v>
      </c>
      <c r="D970" s="2831" t="s">
        <v>3172</v>
      </c>
      <c r="E970" s="2831" t="s">
        <v>2174</v>
      </c>
    </row>
    <row r="971" spans="1:5">
      <c r="A971" s="2831">
        <v>657</v>
      </c>
      <c r="B971" s="2831" t="s">
        <v>3168</v>
      </c>
      <c r="C971" s="2831">
        <v>5050</v>
      </c>
      <c r="D971" s="2831" t="s">
        <v>3173</v>
      </c>
      <c r="E971" s="2831" t="s">
        <v>2174</v>
      </c>
    </row>
    <row r="972" spans="1:5">
      <c r="A972" s="2831">
        <v>657</v>
      </c>
      <c r="B972" s="2831" t="s">
        <v>3168</v>
      </c>
      <c r="C972" s="2831">
        <v>103</v>
      </c>
      <c r="D972" s="2831" t="s">
        <v>3174</v>
      </c>
      <c r="E972" s="2831" t="s">
        <v>2174</v>
      </c>
    </row>
    <row r="973" spans="1:5">
      <c r="A973" s="2831">
        <v>657</v>
      </c>
      <c r="B973" s="2831" t="s">
        <v>3168</v>
      </c>
      <c r="C973" s="2831">
        <v>2052</v>
      </c>
      <c r="D973" s="2831" t="s">
        <v>3175</v>
      </c>
      <c r="E973" s="2831" t="s">
        <v>2166</v>
      </c>
    </row>
    <row r="974" spans="1:5">
      <c r="A974" s="2831">
        <v>657</v>
      </c>
      <c r="B974" s="2831" t="s">
        <v>3168</v>
      </c>
      <c r="C974" s="2831">
        <v>102</v>
      </c>
      <c r="D974" s="2831" t="s">
        <v>3176</v>
      </c>
      <c r="E974" s="2831" t="s">
        <v>2174</v>
      </c>
    </row>
    <row r="975" spans="1:5">
      <c r="A975" s="2831">
        <v>657</v>
      </c>
      <c r="B975" s="2831" t="s">
        <v>3168</v>
      </c>
      <c r="C975" s="2831">
        <v>188</v>
      </c>
      <c r="D975" s="2831" t="s">
        <v>3177</v>
      </c>
      <c r="E975" s="2831" t="s">
        <v>2166</v>
      </c>
    </row>
    <row r="976" spans="1:5">
      <c r="A976" s="2831">
        <v>657</v>
      </c>
      <c r="B976" s="2831" t="s">
        <v>3168</v>
      </c>
      <c r="C976" s="2831">
        <v>111</v>
      </c>
      <c r="D976" s="2831" t="s">
        <v>3178</v>
      </c>
      <c r="E976" s="2831" t="s">
        <v>2174</v>
      </c>
    </row>
    <row r="977" spans="1:5">
      <c r="A977" s="2831">
        <v>657</v>
      </c>
      <c r="B977" s="2831" t="s">
        <v>3168</v>
      </c>
      <c r="C977" s="2831">
        <v>203</v>
      </c>
      <c r="D977" s="2831" t="s">
        <v>3179</v>
      </c>
      <c r="E977" s="2831" t="s">
        <v>2166</v>
      </c>
    </row>
    <row r="978" spans="1:5">
      <c r="A978" s="2831">
        <v>657</v>
      </c>
      <c r="B978" s="2831" t="s">
        <v>3168</v>
      </c>
      <c r="C978" s="2831">
        <v>199</v>
      </c>
      <c r="D978" s="2831" t="s">
        <v>3180</v>
      </c>
      <c r="E978" s="2831" t="s">
        <v>2166</v>
      </c>
    </row>
    <row r="979" spans="1:5">
      <c r="A979" s="2831">
        <v>657</v>
      </c>
      <c r="B979" s="2831" t="s">
        <v>3168</v>
      </c>
      <c r="C979" s="2831">
        <v>107</v>
      </c>
      <c r="D979" s="2831" t="s">
        <v>3181</v>
      </c>
      <c r="E979" s="2831" t="s">
        <v>2174</v>
      </c>
    </row>
    <row r="980" spans="1:5">
      <c r="A980" s="2831">
        <v>657</v>
      </c>
      <c r="B980" s="2831" t="s">
        <v>3168</v>
      </c>
      <c r="C980" s="2831">
        <v>273</v>
      </c>
      <c r="D980" s="2831" t="s">
        <v>3182</v>
      </c>
      <c r="E980" s="2831" t="s">
        <v>2174</v>
      </c>
    </row>
    <row r="981" spans="1:5">
      <c r="A981" s="2831">
        <v>657</v>
      </c>
      <c r="B981" s="2831" t="s">
        <v>3168</v>
      </c>
      <c r="C981" s="2831">
        <v>4054</v>
      </c>
      <c r="D981" s="2831" t="s">
        <v>3183</v>
      </c>
      <c r="E981" s="2831" t="s">
        <v>2174</v>
      </c>
    </row>
    <row r="982" spans="1:5">
      <c r="A982" s="2831">
        <v>658</v>
      </c>
      <c r="B982" s="2831" t="s">
        <v>3184</v>
      </c>
      <c r="C982" s="2831">
        <v>701</v>
      </c>
      <c r="D982" s="2831" t="s">
        <v>3185</v>
      </c>
      <c r="E982" s="2831" t="s">
        <v>2174</v>
      </c>
    </row>
    <row r="983" spans="1:5">
      <c r="A983" s="2831">
        <v>658</v>
      </c>
      <c r="B983" s="2831" t="s">
        <v>3184</v>
      </c>
      <c r="C983" s="2831">
        <v>1050</v>
      </c>
      <c r="D983" s="2831" t="s">
        <v>3186</v>
      </c>
      <c r="E983" s="2831" t="s">
        <v>2166</v>
      </c>
    </row>
    <row r="984" spans="1:5">
      <c r="A984" s="2831">
        <v>658</v>
      </c>
      <c r="B984" s="2831" t="s">
        <v>3184</v>
      </c>
      <c r="C984" s="2831">
        <v>699</v>
      </c>
      <c r="D984" s="2831" t="s">
        <v>3187</v>
      </c>
      <c r="E984" s="2831" t="s">
        <v>2166</v>
      </c>
    </row>
    <row r="985" spans="1:5">
      <c r="A985" s="2831">
        <v>658</v>
      </c>
      <c r="B985" s="2831" t="s">
        <v>3184</v>
      </c>
      <c r="C985" s="2831">
        <v>211</v>
      </c>
      <c r="D985" s="2831" t="s">
        <v>3188</v>
      </c>
      <c r="E985" s="2831" t="s">
        <v>2169</v>
      </c>
    </row>
    <row r="986" spans="1:5">
      <c r="A986" s="2831">
        <v>658</v>
      </c>
      <c r="B986" s="2831" t="s">
        <v>3184</v>
      </c>
      <c r="C986" s="2831">
        <v>194</v>
      </c>
      <c r="D986" s="2831" t="s">
        <v>3189</v>
      </c>
      <c r="E986" s="2831" t="s">
        <v>2166</v>
      </c>
    </row>
    <row r="987" spans="1:5">
      <c r="A987" s="2831">
        <v>658</v>
      </c>
      <c r="B987" s="2831" t="s">
        <v>3184</v>
      </c>
      <c r="C987" s="2831">
        <v>204</v>
      </c>
      <c r="D987" s="2831" t="s">
        <v>3190</v>
      </c>
      <c r="E987" s="2831" t="s">
        <v>2169</v>
      </c>
    </row>
    <row r="988" spans="1:5">
      <c r="A988" s="2831">
        <v>658</v>
      </c>
      <c r="B988" s="2831" t="s">
        <v>3184</v>
      </c>
      <c r="C988" s="2831">
        <v>182</v>
      </c>
      <c r="D988" s="2831" t="s">
        <v>3191</v>
      </c>
      <c r="E988" s="2831" t="s">
        <v>2169</v>
      </c>
    </row>
    <row r="989" spans="1:5">
      <c r="A989" s="2831">
        <v>658</v>
      </c>
      <c r="B989" s="2831" t="s">
        <v>3184</v>
      </c>
      <c r="C989" s="2831">
        <v>103</v>
      </c>
      <c r="D989" s="2831" t="s">
        <v>3192</v>
      </c>
      <c r="E989" s="2831" t="s">
        <v>2174</v>
      </c>
    </row>
    <row r="990" spans="1:5">
      <c r="A990" s="2831">
        <v>658</v>
      </c>
      <c r="B990" s="2831" t="s">
        <v>3184</v>
      </c>
      <c r="C990" s="2831">
        <v>197</v>
      </c>
      <c r="D990" s="2831" t="s">
        <v>3193</v>
      </c>
      <c r="E990" s="2831" t="s">
        <v>2166</v>
      </c>
    </row>
    <row r="991" spans="1:5">
      <c r="A991" s="2831">
        <v>658</v>
      </c>
      <c r="B991" s="2831" t="s">
        <v>3184</v>
      </c>
      <c r="C991" s="2831">
        <v>700</v>
      </c>
      <c r="D991" s="2831" t="s">
        <v>3194</v>
      </c>
      <c r="E991" s="2831" t="s">
        <v>2169</v>
      </c>
    </row>
    <row r="992" spans="1:5">
      <c r="A992" s="2831">
        <v>658</v>
      </c>
      <c r="B992" s="2831" t="s">
        <v>3184</v>
      </c>
      <c r="C992" s="2831">
        <v>702</v>
      </c>
      <c r="D992" s="2831" t="s">
        <v>3195</v>
      </c>
      <c r="E992" s="2831" t="s">
        <v>2166</v>
      </c>
    </row>
    <row r="993" spans="1:5">
      <c r="A993" s="2831">
        <v>658</v>
      </c>
      <c r="B993" s="2831" t="s">
        <v>3184</v>
      </c>
      <c r="C993" s="2831">
        <v>704</v>
      </c>
      <c r="D993" s="2831" t="s">
        <v>3196</v>
      </c>
      <c r="E993" s="2831" t="s">
        <v>2169</v>
      </c>
    </row>
    <row r="994" spans="1:5">
      <c r="A994" s="2831">
        <v>658</v>
      </c>
      <c r="B994" s="2831" t="s">
        <v>3184</v>
      </c>
      <c r="C994" s="2831">
        <v>5050</v>
      </c>
      <c r="D994" s="2831" t="s">
        <v>3197</v>
      </c>
      <c r="E994" s="2831" t="s">
        <v>2169</v>
      </c>
    </row>
    <row r="995" spans="1:5">
      <c r="A995" s="2831">
        <v>658</v>
      </c>
      <c r="B995" s="2831" t="s">
        <v>3184</v>
      </c>
      <c r="C995" s="2831">
        <v>213</v>
      </c>
      <c r="D995" s="2831" t="s">
        <v>3198</v>
      </c>
      <c r="E995" s="2831" t="s">
        <v>2174</v>
      </c>
    </row>
    <row r="996" spans="1:5">
      <c r="A996" s="2831">
        <v>658</v>
      </c>
      <c r="B996" s="2831" t="s">
        <v>3184</v>
      </c>
      <c r="C996" s="2831">
        <v>215</v>
      </c>
      <c r="D996" s="2831" t="s">
        <v>3199</v>
      </c>
      <c r="E996" s="2831" t="s">
        <v>2169</v>
      </c>
    </row>
    <row r="997" spans="1:5">
      <c r="A997" s="2831">
        <v>658</v>
      </c>
      <c r="B997" s="2831" t="s">
        <v>3184</v>
      </c>
      <c r="C997" s="2831">
        <v>703</v>
      </c>
      <c r="D997" s="2831" t="s">
        <v>3200</v>
      </c>
      <c r="E997" s="2831" t="s">
        <v>2166</v>
      </c>
    </row>
    <row r="998" spans="1:5">
      <c r="A998" s="2831">
        <v>658</v>
      </c>
      <c r="B998" s="2831" t="s">
        <v>3184</v>
      </c>
      <c r="C998" s="2831">
        <v>108</v>
      </c>
      <c r="D998" s="2831" t="s">
        <v>3201</v>
      </c>
      <c r="E998" s="2831" t="s">
        <v>2166</v>
      </c>
    </row>
    <row r="999" spans="1:5">
      <c r="A999" s="2831">
        <v>658</v>
      </c>
      <c r="B999" s="2831" t="s">
        <v>3184</v>
      </c>
      <c r="C999" s="2831">
        <v>313</v>
      </c>
      <c r="D999" s="2831" t="s">
        <v>3202</v>
      </c>
      <c r="E999" s="2831" t="s">
        <v>2169</v>
      </c>
    </row>
    <row r="1000" spans="1:5">
      <c r="A1000" s="2831">
        <v>658</v>
      </c>
      <c r="B1000" s="2831" t="s">
        <v>3184</v>
      </c>
      <c r="C1000" s="2831">
        <v>216</v>
      </c>
      <c r="D1000" s="2831" t="s">
        <v>2831</v>
      </c>
      <c r="E1000" s="2831" t="s">
        <v>2166</v>
      </c>
    </row>
    <row r="1001" spans="1:5">
      <c r="A1001" s="2831">
        <v>658</v>
      </c>
      <c r="B1001" s="2831" t="s">
        <v>3184</v>
      </c>
      <c r="C1001" s="2831">
        <v>214</v>
      </c>
      <c r="D1001" s="2831" t="s">
        <v>3203</v>
      </c>
      <c r="E1001" s="2831" t="s">
        <v>2166</v>
      </c>
    </row>
    <row r="1002" spans="1:5">
      <c r="A1002" s="2831">
        <v>658</v>
      </c>
      <c r="B1002" s="2831" t="s">
        <v>3184</v>
      </c>
      <c r="C1002" s="2831">
        <v>303</v>
      </c>
      <c r="D1002" s="2831" t="s">
        <v>3204</v>
      </c>
      <c r="E1002" s="2831" t="s">
        <v>2169</v>
      </c>
    </row>
    <row r="1003" spans="1:5">
      <c r="A1003" s="2831">
        <v>658</v>
      </c>
      <c r="B1003" s="2831" t="s">
        <v>3184</v>
      </c>
      <c r="C1003" s="2831">
        <v>206</v>
      </c>
      <c r="D1003" s="2831" t="s">
        <v>3205</v>
      </c>
      <c r="E1003" s="2831" t="s">
        <v>2169</v>
      </c>
    </row>
    <row r="1004" spans="1:5">
      <c r="A1004" s="2831">
        <v>658</v>
      </c>
      <c r="B1004" s="2831" t="s">
        <v>3184</v>
      </c>
      <c r="C1004" s="2831">
        <v>176</v>
      </c>
      <c r="D1004" s="2831" t="s">
        <v>3206</v>
      </c>
      <c r="E1004" s="2831" t="s">
        <v>2166</v>
      </c>
    </row>
    <row r="1005" spans="1:5">
      <c r="A1005" s="2831">
        <v>658</v>
      </c>
      <c r="B1005" s="2831" t="s">
        <v>3184</v>
      </c>
      <c r="C1005" s="2831">
        <v>102</v>
      </c>
      <c r="D1005" s="2831" t="s">
        <v>3207</v>
      </c>
      <c r="E1005" s="2831" t="s">
        <v>2174</v>
      </c>
    </row>
    <row r="1006" spans="1:5">
      <c r="A1006" s="2831">
        <v>658</v>
      </c>
      <c r="B1006" s="2831" t="s">
        <v>3184</v>
      </c>
      <c r="C1006" s="2831">
        <v>1052</v>
      </c>
      <c r="D1006" s="2831" t="s">
        <v>3208</v>
      </c>
      <c r="E1006" s="2831" t="s">
        <v>2169</v>
      </c>
    </row>
    <row r="1007" spans="1:5">
      <c r="A1007" s="2831">
        <v>658</v>
      </c>
      <c r="B1007" s="2831" t="s">
        <v>3184</v>
      </c>
      <c r="C1007" s="2831">
        <v>705</v>
      </c>
      <c r="D1007" s="2831" t="s">
        <v>3209</v>
      </c>
      <c r="E1007" s="2831" t="s">
        <v>2166</v>
      </c>
    </row>
    <row r="1008" spans="1:5">
      <c r="A1008" s="2831">
        <v>658</v>
      </c>
      <c r="B1008" s="2831" t="s">
        <v>3184</v>
      </c>
      <c r="C1008" s="2831">
        <v>195</v>
      </c>
      <c r="D1008" s="2831" t="s">
        <v>3210</v>
      </c>
      <c r="E1008" s="2831" t="s">
        <v>2169</v>
      </c>
    </row>
    <row r="1009" spans="1:5">
      <c r="A1009" s="2831">
        <v>658</v>
      </c>
      <c r="B1009" s="2831" t="s">
        <v>3184</v>
      </c>
      <c r="C1009" s="2831">
        <v>498</v>
      </c>
      <c r="D1009" s="2831" t="s">
        <v>3211</v>
      </c>
      <c r="E1009" s="2831" t="s">
        <v>2169</v>
      </c>
    </row>
    <row r="1010" spans="1:5">
      <c r="A1010" s="2831">
        <v>658</v>
      </c>
      <c r="B1010" s="2831" t="s">
        <v>3184</v>
      </c>
      <c r="C1010" s="2831">
        <v>202</v>
      </c>
      <c r="D1010" s="2831" t="s">
        <v>3212</v>
      </c>
      <c r="E1010" s="2831" t="s">
        <v>2169</v>
      </c>
    </row>
    <row r="1011" spans="1:5">
      <c r="A1011" s="2831">
        <v>658</v>
      </c>
      <c r="B1011" s="2831" t="s">
        <v>3184</v>
      </c>
      <c r="C1011" s="2831">
        <v>407</v>
      </c>
      <c r="D1011" s="2831" t="s">
        <v>3213</v>
      </c>
      <c r="E1011" s="2831" t="s">
        <v>2166</v>
      </c>
    </row>
    <row r="1012" spans="1:5">
      <c r="A1012" s="2831">
        <v>658</v>
      </c>
      <c r="B1012" s="2831" t="s">
        <v>3184</v>
      </c>
      <c r="C1012" s="2831">
        <v>207</v>
      </c>
      <c r="D1012" s="2831" t="s">
        <v>3214</v>
      </c>
      <c r="E1012" s="2831" t="s">
        <v>2169</v>
      </c>
    </row>
    <row r="1013" spans="1:5">
      <c r="A1013" s="2831">
        <v>658</v>
      </c>
      <c r="B1013" s="2831" t="s">
        <v>3184</v>
      </c>
      <c r="C1013" s="2831">
        <v>105</v>
      </c>
      <c r="D1013" s="2831" t="s">
        <v>3215</v>
      </c>
      <c r="E1013" s="2831" t="s">
        <v>2166</v>
      </c>
    </row>
    <row r="1014" spans="1:5">
      <c r="A1014" s="2831">
        <v>658</v>
      </c>
      <c r="B1014" s="2831" t="s">
        <v>3184</v>
      </c>
      <c r="C1014" s="2831">
        <v>203</v>
      </c>
      <c r="D1014" s="2831" t="s">
        <v>3216</v>
      </c>
      <c r="E1014" s="2831" t="s">
        <v>2169</v>
      </c>
    </row>
    <row r="1015" spans="1:5">
      <c r="A1015" s="2831">
        <v>658</v>
      </c>
      <c r="B1015" s="2831" t="s">
        <v>3184</v>
      </c>
      <c r="C1015" s="2831">
        <v>100</v>
      </c>
      <c r="D1015" s="2831" t="s">
        <v>3217</v>
      </c>
      <c r="E1015" s="2831" t="s">
        <v>2166</v>
      </c>
    </row>
    <row r="1016" spans="1:5">
      <c r="A1016" s="2831">
        <v>658</v>
      </c>
      <c r="B1016" s="2831" t="s">
        <v>3184</v>
      </c>
      <c r="C1016" s="2831">
        <v>104</v>
      </c>
      <c r="D1016" s="2831" t="s">
        <v>3218</v>
      </c>
      <c r="E1016" s="2831" t="s">
        <v>2169</v>
      </c>
    </row>
    <row r="1017" spans="1:5">
      <c r="A1017" s="2831">
        <v>658</v>
      </c>
      <c r="B1017" s="2831" t="s">
        <v>3184</v>
      </c>
      <c r="C1017" s="2831">
        <v>106</v>
      </c>
      <c r="D1017" s="2831" t="s">
        <v>3219</v>
      </c>
      <c r="E1017" s="2831" t="s">
        <v>2174</v>
      </c>
    </row>
    <row r="1018" spans="1:5">
      <c r="A1018" s="2831">
        <v>658</v>
      </c>
      <c r="B1018" s="2831" t="s">
        <v>3184</v>
      </c>
      <c r="C1018" s="2831">
        <v>307</v>
      </c>
      <c r="D1018" s="2831" t="s">
        <v>3220</v>
      </c>
      <c r="E1018" s="2831" t="s">
        <v>2169</v>
      </c>
    </row>
    <row r="1019" spans="1:5">
      <c r="A1019" s="2831">
        <v>658</v>
      </c>
      <c r="B1019" s="2831" t="s">
        <v>3184</v>
      </c>
      <c r="C1019" s="2831">
        <v>190</v>
      </c>
      <c r="D1019" s="2831" t="s">
        <v>3221</v>
      </c>
      <c r="E1019" s="2831" t="s">
        <v>2169</v>
      </c>
    </row>
    <row r="1020" spans="1:5">
      <c r="A1020" s="2831">
        <v>658</v>
      </c>
      <c r="B1020" s="2831" t="s">
        <v>3184</v>
      </c>
      <c r="C1020" s="2831">
        <v>598</v>
      </c>
      <c r="D1020" s="2831" t="s">
        <v>3222</v>
      </c>
      <c r="E1020" s="2831" t="s">
        <v>2169</v>
      </c>
    </row>
    <row r="1021" spans="1:5">
      <c r="A1021" s="2831">
        <v>658</v>
      </c>
      <c r="B1021" s="2831" t="s">
        <v>3184</v>
      </c>
      <c r="C1021" s="2831">
        <v>198</v>
      </c>
      <c r="D1021" s="2831" t="s">
        <v>3223</v>
      </c>
      <c r="E1021" s="2831" t="s">
        <v>2166</v>
      </c>
    </row>
    <row r="1022" spans="1:5">
      <c r="A1022" s="2831">
        <v>658</v>
      </c>
      <c r="B1022" s="2831" t="s">
        <v>3184</v>
      </c>
      <c r="C1022" s="2831">
        <v>199</v>
      </c>
      <c r="D1022" s="2831" t="s">
        <v>3224</v>
      </c>
      <c r="E1022" s="2831" t="s">
        <v>2169</v>
      </c>
    </row>
    <row r="1023" spans="1:5">
      <c r="A1023" s="2831">
        <v>658</v>
      </c>
      <c r="B1023" s="2831" t="s">
        <v>3184</v>
      </c>
      <c r="C1023" s="2831">
        <v>107</v>
      </c>
      <c r="D1023" s="2831" t="s">
        <v>3225</v>
      </c>
      <c r="E1023" s="2831" t="s">
        <v>2169</v>
      </c>
    </row>
    <row r="1024" spans="1:5">
      <c r="A1024" s="2831">
        <v>659</v>
      </c>
      <c r="B1024" s="2831" t="s">
        <v>3226</v>
      </c>
      <c r="C1024" s="2831">
        <v>107</v>
      </c>
      <c r="D1024" s="2831" t="s">
        <v>3227</v>
      </c>
      <c r="E1024" s="2831" t="s">
        <v>2169</v>
      </c>
    </row>
    <row r="1025" spans="1:5">
      <c r="A1025" s="2831">
        <v>659</v>
      </c>
      <c r="B1025" s="2831" t="s">
        <v>3226</v>
      </c>
      <c r="C1025" s="2831">
        <v>3050</v>
      </c>
      <c r="D1025" s="2831" t="s">
        <v>3228</v>
      </c>
      <c r="E1025" s="2831" t="s">
        <v>2166</v>
      </c>
    </row>
    <row r="1026" spans="1:5">
      <c r="A1026" s="2831">
        <v>659</v>
      </c>
      <c r="B1026" s="2831" t="s">
        <v>3226</v>
      </c>
      <c r="C1026" s="2831">
        <v>105</v>
      </c>
      <c r="D1026" s="2831" t="s">
        <v>3229</v>
      </c>
      <c r="E1026" s="2831" t="s">
        <v>2166</v>
      </c>
    </row>
    <row r="1027" spans="1:5">
      <c r="A1027" s="2831">
        <v>659</v>
      </c>
      <c r="B1027" s="2831" t="s">
        <v>3226</v>
      </c>
      <c r="C1027" s="2831">
        <v>5050</v>
      </c>
      <c r="D1027" s="2831" t="s">
        <v>3230</v>
      </c>
      <c r="E1027" s="2831" t="s">
        <v>2166</v>
      </c>
    </row>
    <row r="1028" spans="1:5">
      <c r="A1028" s="2831">
        <v>659</v>
      </c>
      <c r="B1028" s="2831" t="s">
        <v>3226</v>
      </c>
      <c r="C1028" s="2831">
        <v>1052</v>
      </c>
      <c r="D1028" s="2831" t="s">
        <v>3231</v>
      </c>
      <c r="E1028" s="2831" t="s">
        <v>2174</v>
      </c>
    </row>
    <row r="1029" spans="1:5">
      <c r="A1029" s="2831">
        <v>660</v>
      </c>
      <c r="B1029" s="2831" t="s">
        <v>3232</v>
      </c>
      <c r="C1029" s="2831">
        <v>101</v>
      </c>
      <c r="D1029" s="2831" t="s">
        <v>3233</v>
      </c>
      <c r="E1029" s="2831" t="s">
        <v>2166</v>
      </c>
    </row>
    <row r="1030" spans="1:5">
      <c r="A1030" s="2831">
        <v>660</v>
      </c>
      <c r="B1030" s="2831" t="s">
        <v>3232</v>
      </c>
      <c r="C1030" s="2831">
        <v>1050</v>
      </c>
      <c r="D1030" s="2831" t="s">
        <v>3234</v>
      </c>
      <c r="E1030" s="2831" t="s">
        <v>2166</v>
      </c>
    </row>
    <row r="1031" spans="1:5">
      <c r="A1031" s="2831">
        <v>660</v>
      </c>
      <c r="B1031" s="2831" t="s">
        <v>3232</v>
      </c>
      <c r="C1031" s="2831">
        <v>205</v>
      </c>
      <c r="D1031" s="2831" t="s">
        <v>3235</v>
      </c>
      <c r="E1031" s="2831" t="s">
        <v>2169</v>
      </c>
    </row>
    <row r="1032" spans="1:5">
      <c r="A1032" s="2831">
        <v>660</v>
      </c>
      <c r="B1032" s="2831" t="s">
        <v>3232</v>
      </c>
      <c r="C1032" s="2831">
        <v>406</v>
      </c>
      <c r="D1032" s="2831" t="s">
        <v>3236</v>
      </c>
      <c r="E1032" s="2831" t="s">
        <v>2166</v>
      </c>
    </row>
    <row r="1033" spans="1:5">
      <c r="A1033" s="2831">
        <v>660</v>
      </c>
      <c r="B1033" s="2831" t="s">
        <v>3232</v>
      </c>
      <c r="C1033" s="2831">
        <v>5060</v>
      </c>
      <c r="D1033" s="2831" t="s">
        <v>3237</v>
      </c>
      <c r="E1033" s="2831" t="s">
        <v>2174</v>
      </c>
    </row>
    <row r="1034" spans="1:5">
      <c r="A1034" s="2831">
        <v>660</v>
      </c>
      <c r="B1034" s="2831" t="s">
        <v>3232</v>
      </c>
      <c r="C1034" s="2831">
        <v>305</v>
      </c>
      <c r="D1034" s="2831" t="s">
        <v>3238</v>
      </c>
      <c r="E1034" s="2831" t="s">
        <v>2166</v>
      </c>
    </row>
    <row r="1035" spans="1:5">
      <c r="A1035" s="2831">
        <v>660</v>
      </c>
      <c r="B1035" s="2831" t="s">
        <v>3232</v>
      </c>
      <c r="C1035" s="2831">
        <v>176</v>
      </c>
      <c r="D1035" s="2831" t="s">
        <v>3239</v>
      </c>
      <c r="E1035" s="2831" t="s">
        <v>2174</v>
      </c>
    </row>
    <row r="1036" spans="1:5">
      <c r="A1036" s="2831">
        <v>660</v>
      </c>
      <c r="B1036" s="2831" t="s">
        <v>3232</v>
      </c>
      <c r="C1036" s="2831">
        <v>187</v>
      </c>
      <c r="D1036" s="2831" t="s">
        <v>3240</v>
      </c>
      <c r="E1036" s="2831" t="s">
        <v>2166</v>
      </c>
    </row>
    <row r="1037" spans="1:5">
      <c r="A1037" s="2831">
        <v>660</v>
      </c>
      <c r="B1037" s="2831" t="s">
        <v>3232</v>
      </c>
      <c r="C1037" s="2831">
        <v>391</v>
      </c>
      <c r="D1037" s="2831" t="s">
        <v>2289</v>
      </c>
      <c r="E1037" s="2831" t="s">
        <v>2166</v>
      </c>
    </row>
    <row r="1038" spans="1:5">
      <c r="A1038" s="2831">
        <v>660</v>
      </c>
      <c r="B1038" s="2831" t="s">
        <v>3232</v>
      </c>
      <c r="C1038" s="2831">
        <v>2058</v>
      </c>
      <c r="D1038" s="2831" t="s">
        <v>3241</v>
      </c>
      <c r="E1038" s="2831" t="s">
        <v>2166</v>
      </c>
    </row>
    <row r="1039" spans="1:5">
      <c r="A1039" s="2831">
        <v>660</v>
      </c>
      <c r="B1039" s="2831" t="s">
        <v>3232</v>
      </c>
      <c r="C1039" s="2831">
        <v>1210</v>
      </c>
      <c r="D1039" s="2831" t="s">
        <v>3242</v>
      </c>
      <c r="E1039" s="2831" t="s">
        <v>2166</v>
      </c>
    </row>
    <row r="1040" spans="1:5">
      <c r="A1040" s="2831">
        <v>660</v>
      </c>
      <c r="B1040" s="2831" t="s">
        <v>3232</v>
      </c>
      <c r="C1040" s="2831">
        <v>2550</v>
      </c>
      <c r="D1040" s="2831" t="s">
        <v>3243</v>
      </c>
      <c r="E1040" s="2831" t="s">
        <v>2174</v>
      </c>
    </row>
    <row r="1041" spans="1:5">
      <c r="A1041" s="2831">
        <v>660</v>
      </c>
      <c r="B1041" s="2831" t="s">
        <v>3232</v>
      </c>
      <c r="C1041" s="2831">
        <v>119</v>
      </c>
      <c r="D1041" s="2831" t="s">
        <v>3244</v>
      </c>
      <c r="E1041" s="2831" t="s">
        <v>2169</v>
      </c>
    </row>
    <row r="1042" spans="1:5">
      <c r="A1042" s="2831">
        <v>660</v>
      </c>
      <c r="B1042" s="2831" t="s">
        <v>3232</v>
      </c>
      <c r="C1042" s="2831">
        <v>186</v>
      </c>
      <c r="D1042" s="2831" t="s">
        <v>3245</v>
      </c>
      <c r="E1042" s="2831" t="s">
        <v>2166</v>
      </c>
    </row>
    <row r="1043" spans="1:5">
      <c r="A1043" s="2831">
        <v>660</v>
      </c>
      <c r="B1043" s="2831" t="s">
        <v>3232</v>
      </c>
      <c r="C1043" s="2831">
        <v>2070</v>
      </c>
      <c r="D1043" s="2831" t="s">
        <v>3246</v>
      </c>
      <c r="E1043" s="2831" t="s">
        <v>2169</v>
      </c>
    </row>
    <row r="1044" spans="1:5">
      <c r="A1044" s="2831">
        <v>660</v>
      </c>
      <c r="B1044" s="2831" t="s">
        <v>3232</v>
      </c>
      <c r="C1044" s="2831">
        <v>198</v>
      </c>
      <c r="D1044" s="2831" t="s">
        <v>3247</v>
      </c>
      <c r="E1044" s="2831" t="s">
        <v>2174</v>
      </c>
    </row>
    <row r="1045" spans="1:5">
      <c r="A1045" s="2831">
        <v>660</v>
      </c>
      <c r="B1045" s="2831" t="s">
        <v>3232</v>
      </c>
      <c r="C1045" s="2831">
        <v>392</v>
      </c>
      <c r="D1045" s="2831" t="s">
        <v>3248</v>
      </c>
      <c r="E1045" s="2831" t="s">
        <v>2166</v>
      </c>
    </row>
    <row r="1046" spans="1:5">
      <c r="A1046" s="2831">
        <v>660</v>
      </c>
      <c r="B1046" s="2831" t="s">
        <v>3232</v>
      </c>
      <c r="C1046" s="2831">
        <v>215</v>
      </c>
      <c r="D1046" s="2831" t="s">
        <v>3249</v>
      </c>
      <c r="E1046" s="2831" t="s">
        <v>2169</v>
      </c>
    </row>
    <row r="1047" spans="1:5">
      <c r="A1047" s="2831">
        <v>660</v>
      </c>
      <c r="B1047" s="2831" t="s">
        <v>3232</v>
      </c>
      <c r="C1047" s="2831">
        <v>1010</v>
      </c>
      <c r="D1047" s="2831" t="s">
        <v>3250</v>
      </c>
      <c r="E1047" s="2831" t="s">
        <v>2174</v>
      </c>
    </row>
    <row r="1048" spans="1:5">
      <c r="A1048" s="2831">
        <v>660</v>
      </c>
      <c r="B1048" s="2831" t="s">
        <v>3232</v>
      </c>
      <c r="C1048" s="2831">
        <v>303</v>
      </c>
      <c r="D1048" s="2831" t="s">
        <v>3251</v>
      </c>
      <c r="E1048" s="2831" t="s">
        <v>2166</v>
      </c>
    </row>
    <row r="1049" spans="1:5">
      <c r="A1049" s="2831">
        <v>660</v>
      </c>
      <c r="B1049" s="2831" t="s">
        <v>3232</v>
      </c>
      <c r="C1049" s="2831">
        <v>1315</v>
      </c>
      <c r="D1049" s="2831" t="s">
        <v>3252</v>
      </c>
      <c r="E1049" s="2831" t="s">
        <v>2166</v>
      </c>
    </row>
    <row r="1050" spans="1:5">
      <c r="A1050" s="2831">
        <v>660</v>
      </c>
      <c r="B1050" s="2831" t="s">
        <v>3232</v>
      </c>
      <c r="C1050" s="2831">
        <v>5052</v>
      </c>
      <c r="D1050" s="2831" t="s">
        <v>3253</v>
      </c>
      <c r="E1050" s="2831" t="s">
        <v>2174</v>
      </c>
    </row>
    <row r="1051" spans="1:5">
      <c r="A1051" s="2831">
        <v>660</v>
      </c>
      <c r="B1051" s="2831" t="s">
        <v>3232</v>
      </c>
      <c r="C1051" s="2831">
        <v>193</v>
      </c>
      <c r="D1051" s="2831" t="s">
        <v>3254</v>
      </c>
      <c r="E1051" s="2831" t="s">
        <v>2169</v>
      </c>
    </row>
    <row r="1052" spans="1:5">
      <c r="A1052" s="2831">
        <v>660</v>
      </c>
      <c r="B1052" s="2831" t="s">
        <v>3232</v>
      </c>
      <c r="C1052" s="2831">
        <v>184</v>
      </c>
      <c r="D1052" s="2831" t="s">
        <v>3255</v>
      </c>
      <c r="E1052" s="2831" t="s">
        <v>2166</v>
      </c>
    </row>
    <row r="1053" spans="1:5">
      <c r="A1053" s="2831">
        <v>660</v>
      </c>
      <c r="B1053" s="2831" t="s">
        <v>3232</v>
      </c>
      <c r="C1053" s="2831">
        <v>102</v>
      </c>
      <c r="D1053" s="2831" t="s">
        <v>3256</v>
      </c>
      <c r="E1053" s="2831" t="s">
        <v>2166</v>
      </c>
    </row>
    <row r="1054" spans="1:5">
      <c r="A1054" s="2831">
        <v>660</v>
      </c>
      <c r="B1054" s="2831" t="s">
        <v>3232</v>
      </c>
      <c r="C1054" s="2831">
        <v>291</v>
      </c>
      <c r="D1054" s="2831" t="s">
        <v>3257</v>
      </c>
      <c r="E1054" s="2831" t="s">
        <v>2174</v>
      </c>
    </row>
    <row r="1055" spans="1:5">
      <c r="A1055" s="2831">
        <v>660</v>
      </c>
      <c r="B1055" s="2831" t="s">
        <v>3232</v>
      </c>
      <c r="C1055" s="2831">
        <v>180</v>
      </c>
      <c r="D1055" s="2831" t="s">
        <v>3258</v>
      </c>
      <c r="E1055" s="2831" t="s">
        <v>2166</v>
      </c>
    </row>
    <row r="1056" spans="1:5">
      <c r="A1056" s="2831">
        <v>660</v>
      </c>
      <c r="B1056" s="2831" t="s">
        <v>3232</v>
      </c>
      <c r="C1056" s="2831">
        <v>207</v>
      </c>
      <c r="D1056" s="2831" t="s">
        <v>3259</v>
      </c>
      <c r="E1056" s="2831" t="s">
        <v>2166</v>
      </c>
    </row>
    <row r="1057" spans="1:5">
      <c r="A1057" s="2831">
        <v>660</v>
      </c>
      <c r="B1057" s="2831" t="s">
        <v>3232</v>
      </c>
      <c r="C1057" s="2831">
        <v>4069</v>
      </c>
      <c r="D1057" s="2831" t="s">
        <v>3260</v>
      </c>
      <c r="E1057" s="2831" t="s">
        <v>2174</v>
      </c>
    </row>
    <row r="1058" spans="1:5">
      <c r="A1058" s="2831">
        <v>660</v>
      </c>
      <c r="B1058" s="2831" t="s">
        <v>3232</v>
      </c>
      <c r="C1058" s="2831">
        <v>302</v>
      </c>
      <c r="D1058" s="2831" t="s">
        <v>3261</v>
      </c>
      <c r="E1058" s="2831" t="s">
        <v>2166</v>
      </c>
    </row>
    <row r="1059" spans="1:5">
      <c r="A1059" s="2831">
        <v>660</v>
      </c>
      <c r="B1059" s="2831" t="s">
        <v>3232</v>
      </c>
      <c r="C1059" s="2831">
        <v>114</v>
      </c>
      <c r="D1059" s="2831" t="s">
        <v>3262</v>
      </c>
      <c r="E1059" s="2831" t="s">
        <v>2174</v>
      </c>
    </row>
    <row r="1060" spans="1:5">
      <c r="A1060" s="2831">
        <v>660</v>
      </c>
      <c r="B1060" s="2831" t="s">
        <v>3232</v>
      </c>
      <c r="C1060" s="2831">
        <v>295</v>
      </c>
      <c r="D1060" s="2831" t="s">
        <v>3263</v>
      </c>
      <c r="E1060" s="2831" t="s">
        <v>2166</v>
      </c>
    </row>
    <row r="1061" spans="1:5">
      <c r="A1061" s="2831">
        <v>660</v>
      </c>
      <c r="B1061" s="2831" t="s">
        <v>3232</v>
      </c>
      <c r="C1061" s="2831">
        <v>1319</v>
      </c>
      <c r="D1061" s="2831" t="s">
        <v>3264</v>
      </c>
      <c r="E1061" s="2831" t="s">
        <v>2169</v>
      </c>
    </row>
    <row r="1062" spans="1:5">
      <c r="A1062" s="2831">
        <v>660</v>
      </c>
      <c r="B1062" s="2831" t="s">
        <v>3232</v>
      </c>
      <c r="C1062" s="2831">
        <v>1325</v>
      </c>
      <c r="D1062" s="2831" t="s">
        <v>3265</v>
      </c>
      <c r="E1062" s="2831" t="s">
        <v>2169</v>
      </c>
    </row>
    <row r="1063" spans="1:5">
      <c r="A1063" s="2831">
        <v>660</v>
      </c>
      <c r="B1063" s="2831" t="s">
        <v>3232</v>
      </c>
      <c r="C1063" s="2831">
        <v>1323</v>
      </c>
      <c r="D1063" s="2831" t="s">
        <v>3266</v>
      </c>
      <c r="E1063" s="2831" t="s">
        <v>2174</v>
      </c>
    </row>
    <row r="1064" spans="1:5">
      <c r="A1064" s="2831">
        <v>660</v>
      </c>
      <c r="B1064" s="2831" t="s">
        <v>3232</v>
      </c>
      <c r="C1064" s="2831">
        <v>276</v>
      </c>
      <c r="D1064" s="2831" t="s">
        <v>3267</v>
      </c>
      <c r="E1064" s="2831" t="s">
        <v>2174</v>
      </c>
    </row>
    <row r="1065" spans="1:5">
      <c r="A1065" s="2831">
        <v>660</v>
      </c>
      <c r="B1065" s="2831" t="s">
        <v>3232</v>
      </c>
      <c r="C1065" s="2831">
        <v>501</v>
      </c>
      <c r="D1065" s="2831" t="s">
        <v>3268</v>
      </c>
      <c r="E1065" s="2831" t="s">
        <v>2174</v>
      </c>
    </row>
    <row r="1066" spans="1:5">
      <c r="A1066" s="2831">
        <v>660</v>
      </c>
      <c r="B1066" s="2831" t="s">
        <v>3232</v>
      </c>
      <c r="C1066" s="2831">
        <v>118</v>
      </c>
      <c r="D1066" s="2831" t="s">
        <v>3269</v>
      </c>
      <c r="E1066" s="2831" t="s">
        <v>2174</v>
      </c>
    </row>
    <row r="1067" spans="1:5">
      <c r="A1067" s="2831">
        <v>660</v>
      </c>
      <c r="B1067" s="2831" t="s">
        <v>3232</v>
      </c>
      <c r="C1067" s="2831">
        <v>192</v>
      </c>
      <c r="D1067" s="2831" t="s">
        <v>3270</v>
      </c>
      <c r="E1067" s="2831" t="s">
        <v>2166</v>
      </c>
    </row>
    <row r="1068" spans="1:5">
      <c r="A1068" s="2831">
        <v>660</v>
      </c>
      <c r="B1068" s="2831" t="s">
        <v>3232</v>
      </c>
      <c r="C1068" s="2831">
        <v>384</v>
      </c>
      <c r="D1068" s="2831" t="s">
        <v>3271</v>
      </c>
      <c r="E1068" s="2831" t="s">
        <v>2166</v>
      </c>
    </row>
    <row r="1069" spans="1:5">
      <c r="A1069" s="2831">
        <v>660</v>
      </c>
      <c r="B1069" s="2831" t="s">
        <v>3232</v>
      </c>
      <c r="C1069" s="2831">
        <v>3056</v>
      </c>
      <c r="D1069" s="2831" t="s">
        <v>3272</v>
      </c>
      <c r="E1069" s="2831" t="s">
        <v>2166</v>
      </c>
    </row>
    <row r="1070" spans="1:5">
      <c r="A1070" s="2831">
        <v>660</v>
      </c>
      <c r="B1070" s="2831" t="s">
        <v>3232</v>
      </c>
      <c r="C1070" s="2831">
        <v>103</v>
      </c>
      <c r="D1070" s="2831" t="s">
        <v>3273</v>
      </c>
      <c r="E1070" s="2831" t="s">
        <v>2166</v>
      </c>
    </row>
    <row r="1071" spans="1:5">
      <c r="A1071" s="2831">
        <v>660</v>
      </c>
      <c r="B1071" s="2831" t="s">
        <v>3232</v>
      </c>
      <c r="C1071" s="2831">
        <v>301</v>
      </c>
      <c r="D1071" s="2831" t="s">
        <v>2344</v>
      </c>
      <c r="E1071" s="2831" t="s">
        <v>2166</v>
      </c>
    </row>
    <row r="1072" spans="1:5">
      <c r="A1072" s="2831">
        <v>660</v>
      </c>
      <c r="B1072" s="2831" t="s">
        <v>3232</v>
      </c>
      <c r="C1072" s="2831">
        <v>4056</v>
      </c>
      <c r="D1072" s="2831" t="s">
        <v>3274</v>
      </c>
      <c r="E1072" s="2831" t="s">
        <v>2169</v>
      </c>
    </row>
    <row r="1073" spans="1:5">
      <c r="A1073" s="2831">
        <v>660</v>
      </c>
      <c r="B1073" s="2831" t="s">
        <v>3232</v>
      </c>
      <c r="C1073" s="2831">
        <v>202</v>
      </c>
      <c r="D1073" s="2831" t="s">
        <v>3275</v>
      </c>
      <c r="E1073" s="2831" t="s">
        <v>2166</v>
      </c>
    </row>
    <row r="1074" spans="1:5">
      <c r="A1074" s="2831">
        <v>660</v>
      </c>
      <c r="B1074" s="2831" t="s">
        <v>3232</v>
      </c>
      <c r="C1074" s="2831">
        <v>284</v>
      </c>
      <c r="D1074" s="2831" t="s">
        <v>3276</v>
      </c>
      <c r="E1074" s="2831" t="s">
        <v>2174</v>
      </c>
    </row>
    <row r="1075" spans="1:5">
      <c r="A1075" s="2831">
        <v>660</v>
      </c>
      <c r="B1075" s="2831" t="s">
        <v>3232</v>
      </c>
      <c r="C1075" s="2831">
        <v>105</v>
      </c>
      <c r="D1075" s="2831" t="s">
        <v>3277</v>
      </c>
      <c r="E1075" s="2831" t="s">
        <v>2169</v>
      </c>
    </row>
    <row r="1076" spans="1:5">
      <c r="A1076" s="2831">
        <v>660</v>
      </c>
      <c r="B1076" s="2831" t="s">
        <v>3232</v>
      </c>
      <c r="C1076" s="2831">
        <v>386</v>
      </c>
      <c r="D1076" s="2831" t="s">
        <v>3278</v>
      </c>
      <c r="E1076" s="2831" t="s">
        <v>2169</v>
      </c>
    </row>
    <row r="1077" spans="1:5">
      <c r="A1077" s="2831">
        <v>660</v>
      </c>
      <c r="B1077" s="2831" t="s">
        <v>3232</v>
      </c>
      <c r="C1077" s="2831">
        <v>1322</v>
      </c>
      <c r="D1077" s="2831" t="s">
        <v>3279</v>
      </c>
      <c r="E1077" s="2831" t="s">
        <v>2166</v>
      </c>
    </row>
    <row r="1078" spans="1:5">
      <c r="A1078" s="2831">
        <v>660</v>
      </c>
      <c r="B1078" s="2831" t="s">
        <v>3232</v>
      </c>
      <c r="C1078" s="2831">
        <v>1310</v>
      </c>
      <c r="D1078" s="2831" t="s">
        <v>3280</v>
      </c>
      <c r="E1078" s="2831" t="s">
        <v>2174</v>
      </c>
    </row>
    <row r="1079" spans="1:5">
      <c r="A1079" s="2831">
        <v>660</v>
      </c>
      <c r="B1079" s="2831" t="s">
        <v>3232</v>
      </c>
      <c r="C1079" s="2831">
        <v>175</v>
      </c>
      <c r="D1079" s="2831" t="s">
        <v>2216</v>
      </c>
      <c r="E1079" s="2831" t="s">
        <v>2166</v>
      </c>
    </row>
    <row r="1080" spans="1:5">
      <c r="A1080" s="2831">
        <v>660</v>
      </c>
      <c r="B1080" s="2831" t="s">
        <v>3232</v>
      </c>
      <c r="C1080" s="2831">
        <v>910</v>
      </c>
      <c r="D1080" s="2831" t="s">
        <v>3281</v>
      </c>
      <c r="E1080" s="2831" t="s">
        <v>2166</v>
      </c>
    </row>
    <row r="1081" spans="1:5">
      <c r="A1081" s="2831">
        <v>660</v>
      </c>
      <c r="B1081" s="2831" t="s">
        <v>3232</v>
      </c>
      <c r="C1081" s="2831">
        <v>204</v>
      </c>
      <c r="D1081" s="2831" t="s">
        <v>3282</v>
      </c>
      <c r="E1081" s="2831" t="s">
        <v>2174</v>
      </c>
    </row>
    <row r="1082" spans="1:5">
      <c r="A1082" s="2831">
        <v>660</v>
      </c>
      <c r="B1082" s="2831" t="s">
        <v>3232</v>
      </c>
      <c r="C1082" s="2831">
        <v>909</v>
      </c>
      <c r="D1082" s="2831" t="s">
        <v>3283</v>
      </c>
      <c r="E1082" s="2831" t="s">
        <v>2174</v>
      </c>
    </row>
    <row r="1083" spans="1:5">
      <c r="A1083" s="2831">
        <v>660</v>
      </c>
      <c r="B1083" s="2831" t="s">
        <v>3232</v>
      </c>
      <c r="C1083" s="2831">
        <v>190</v>
      </c>
      <c r="D1083" s="2831" t="s">
        <v>3284</v>
      </c>
      <c r="E1083" s="2831" t="s">
        <v>2166</v>
      </c>
    </row>
    <row r="1084" spans="1:5">
      <c r="A1084" s="2831">
        <v>660</v>
      </c>
      <c r="B1084" s="2831" t="s">
        <v>3232</v>
      </c>
      <c r="C1084" s="2831">
        <v>1110</v>
      </c>
      <c r="D1084" s="2831" t="s">
        <v>3285</v>
      </c>
      <c r="E1084" s="2831" t="s">
        <v>2174</v>
      </c>
    </row>
    <row r="1085" spans="1:5">
      <c r="A1085" s="2831">
        <v>660</v>
      </c>
      <c r="B1085" s="2831" t="s">
        <v>3232</v>
      </c>
      <c r="C1085" s="2831">
        <v>3058</v>
      </c>
      <c r="D1085" s="2831" t="s">
        <v>3286</v>
      </c>
      <c r="E1085" s="2831" t="s">
        <v>2174</v>
      </c>
    </row>
    <row r="1086" spans="1:5">
      <c r="A1086" s="2831">
        <v>660</v>
      </c>
      <c r="B1086" s="2831" t="s">
        <v>3232</v>
      </c>
      <c r="C1086" s="2831">
        <v>503</v>
      </c>
      <c r="D1086" s="2831" t="s">
        <v>3287</v>
      </c>
      <c r="E1086" s="2831" t="s">
        <v>2174</v>
      </c>
    </row>
    <row r="1087" spans="1:5">
      <c r="A1087" s="2831">
        <v>660</v>
      </c>
      <c r="B1087" s="2831" t="s">
        <v>3232</v>
      </c>
      <c r="C1087" s="2831">
        <v>116</v>
      </c>
      <c r="D1087" s="2831" t="s">
        <v>3288</v>
      </c>
      <c r="E1087" s="2831" t="s">
        <v>2166</v>
      </c>
    </row>
    <row r="1088" spans="1:5">
      <c r="A1088" s="2831">
        <v>660</v>
      </c>
      <c r="B1088" s="2831" t="s">
        <v>3232</v>
      </c>
      <c r="C1088" s="2831">
        <v>299</v>
      </c>
      <c r="D1088" s="2831" t="s">
        <v>3289</v>
      </c>
      <c r="E1088" s="2831" t="s">
        <v>2166</v>
      </c>
    </row>
    <row r="1089" spans="1:5">
      <c r="A1089" s="2831">
        <v>660</v>
      </c>
      <c r="B1089" s="2831" t="s">
        <v>3232</v>
      </c>
      <c r="C1089" s="2831">
        <v>189</v>
      </c>
      <c r="D1089" s="2831" t="s">
        <v>2981</v>
      </c>
      <c r="E1089" s="2831" t="s">
        <v>2174</v>
      </c>
    </row>
    <row r="1090" spans="1:5">
      <c r="A1090" s="2831">
        <v>660</v>
      </c>
      <c r="B1090" s="2831" t="s">
        <v>3232</v>
      </c>
      <c r="C1090" s="2831">
        <v>491</v>
      </c>
      <c r="D1090" s="2831" t="s">
        <v>3290</v>
      </c>
      <c r="E1090" s="2831" t="s">
        <v>2166</v>
      </c>
    </row>
    <row r="1091" spans="1:5">
      <c r="A1091" s="2831">
        <v>660</v>
      </c>
      <c r="B1091" s="2831" t="s">
        <v>3232</v>
      </c>
      <c r="C1091" s="2831">
        <v>106</v>
      </c>
      <c r="D1091" s="2831" t="s">
        <v>3291</v>
      </c>
      <c r="E1091" s="2831" t="s">
        <v>2174</v>
      </c>
    </row>
    <row r="1092" spans="1:5">
      <c r="A1092" s="2831">
        <v>660</v>
      </c>
      <c r="B1092" s="2831" t="s">
        <v>3232</v>
      </c>
      <c r="C1092" s="2831">
        <v>4060</v>
      </c>
      <c r="D1092" s="2831" t="s">
        <v>3292</v>
      </c>
      <c r="E1092" s="2831" t="s">
        <v>2174</v>
      </c>
    </row>
    <row r="1093" spans="1:5">
      <c r="A1093" s="2831">
        <v>660</v>
      </c>
      <c r="B1093" s="2831" t="s">
        <v>3232</v>
      </c>
      <c r="C1093" s="2831">
        <v>373</v>
      </c>
      <c r="D1093" s="2831" t="s">
        <v>3293</v>
      </c>
      <c r="E1093" s="2831" t="s">
        <v>2166</v>
      </c>
    </row>
    <row r="1094" spans="1:5">
      <c r="A1094" s="2831">
        <v>660</v>
      </c>
      <c r="B1094" s="2831" t="s">
        <v>3232</v>
      </c>
      <c r="C1094" s="2831">
        <v>195</v>
      </c>
      <c r="D1094" s="2831" t="s">
        <v>3294</v>
      </c>
      <c r="E1094" s="2831" t="s">
        <v>2166</v>
      </c>
    </row>
    <row r="1095" spans="1:5">
      <c r="A1095" s="2831">
        <v>660</v>
      </c>
      <c r="B1095" s="2831" t="s">
        <v>3232</v>
      </c>
      <c r="C1095" s="2831">
        <v>275</v>
      </c>
      <c r="D1095" s="2831" t="s">
        <v>3295</v>
      </c>
      <c r="E1095" s="2831" t="s">
        <v>2166</v>
      </c>
    </row>
    <row r="1096" spans="1:5">
      <c r="A1096" s="2831">
        <v>660</v>
      </c>
      <c r="B1096" s="2831" t="s">
        <v>3232</v>
      </c>
      <c r="C1096" s="2831">
        <v>4062</v>
      </c>
      <c r="D1096" s="2831" t="s">
        <v>3296</v>
      </c>
      <c r="E1096" s="2831" t="s">
        <v>2174</v>
      </c>
    </row>
    <row r="1097" spans="1:5">
      <c r="A1097" s="2831">
        <v>660</v>
      </c>
      <c r="B1097" s="2831" t="s">
        <v>3232</v>
      </c>
      <c r="C1097" s="2831">
        <v>203</v>
      </c>
      <c r="D1097" s="2831" t="s">
        <v>3297</v>
      </c>
      <c r="E1097" s="2831" t="s">
        <v>2169</v>
      </c>
    </row>
    <row r="1098" spans="1:5">
      <c r="A1098" s="2831">
        <v>660</v>
      </c>
      <c r="B1098" s="2831" t="s">
        <v>3232</v>
      </c>
      <c r="C1098" s="2831">
        <v>597</v>
      </c>
      <c r="D1098" s="2831" t="s">
        <v>3298</v>
      </c>
      <c r="E1098" s="2831" t="s">
        <v>2166</v>
      </c>
    </row>
    <row r="1099" spans="1:5">
      <c r="A1099" s="2831">
        <v>660</v>
      </c>
      <c r="B1099" s="2831" t="s">
        <v>3232</v>
      </c>
      <c r="C1099" s="2831">
        <v>197</v>
      </c>
      <c r="D1099" s="2831" t="s">
        <v>3299</v>
      </c>
      <c r="E1099" s="2831" t="s">
        <v>2169</v>
      </c>
    </row>
    <row r="1100" spans="1:5">
      <c r="A1100" s="2831">
        <v>660</v>
      </c>
      <c r="B1100" s="2831" t="s">
        <v>3232</v>
      </c>
      <c r="C1100" s="2831">
        <v>206</v>
      </c>
      <c r="D1100" s="2831" t="s">
        <v>3300</v>
      </c>
      <c r="E1100" s="2831" t="s">
        <v>2174</v>
      </c>
    </row>
    <row r="1101" spans="1:5">
      <c r="A1101" s="2831">
        <v>660</v>
      </c>
      <c r="B1101" s="2831" t="s">
        <v>3232</v>
      </c>
      <c r="C1101" s="2831">
        <v>701</v>
      </c>
      <c r="D1101" s="2831" t="s">
        <v>3301</v>
      </c>
      <c r="E1101" s="2831" t="s">
        <v>2174</v>
      </c>
    </row>
    <row r="1102" spans="1:5">
      <c r="A1102" s="2831">
        <v>660</v>
      </c>
      <c r="B1102" s="2831" t="s">
        <v>3232</v>
      </c>
      <c r="C1102" s="2831">
        <v>292</v>
      </c>
      <c r="D1102" s="2831" t="s">
        <v>3302</v>
      </c>
      <c r="E1102" s="2831" t="s">
        <v>2174</v>
      </c>
    </row>
    <row r="1103" spans="1:5">
      <c r="A1103" s="2831">
        <v>660</v>
      </c>
      <c r="B1103" s="2831" t="s">
        <v>3232</v>
      </c>
      <c r="C1103" s="2831">
        <v>3064</v>
      </c>
      <c r="D1103" s="2831" t="s">
        <v>3303</v>
      </c>
      <c r="E1103" s="2831" t="s">
        <v>2174</v>
      </c>
    </row>
    <row r="1104" spans="1:5">
      <c r="A1104" s="2831">
        <v>660</v>
      </c>
      <c r="B1104" s="2831" t="s">
        <v>3232</v>
      </c>
      <c r="C1104" s="2831">
        <v>803</v>
      </c>
      <c r="D1104" s="2831" t="s">
        <v>3304</v>
      </c>
      <c r="E1104" s="2831" t="s">
        <v>2174</v>
      </c>
    </row>
    <row r="1105" spans="1:5">
      <c r="A1105" s="2831">
        <v>660</v>
      </c>
      <c r="B1105" s="2831" t="s">
        <v>3232</v>
      </c>
      <c r="C1105" s="2831">
        <v>390</v>
      </c>
      <c r="D1105" s="2831" t="s">
        <v>3305</v>
      </c>
      <c r="E1105" s="2831" t="s">
        <v>2174</v>
      </c>
    </row>
    <row r="1106" spans="1:5">
      <c r="A1106" s="2831">
        <v>660</v>
      </c>
      <c r="B1106" s="2831" t="s">
        <v>3232</v>
      </c>
      <c r="C1106" s="2831">
        <v>109</v>
      </c>
      <c r="D1106" s="2831" t="s">
        <v>3306</v>
      </c>
      <c r="E1106" s="2831" t="s">
        <v>2174</v>
      </c>
    </row>
    <row r="1107" spans="1:5">
      <c r="A1107" s="2831">
        <v>660</v>
      </c>
      <c r="B1107" s="2831" t="s">
        <v>3232</v>
      </c>
      <c r="C1107" s="2831">
        <v>107</v>
      </c>
      <c r="D1107" s="2831" t="s">
        <v>3307</v>
      </c>
      <c r="E1107" s="2831" t="s">
        <v>2174</v>
      </c>
    </row>
    <row r="1108" spans="1:5">
      <c r="A1108" s="2831">
        <v>660</v>
      </c>
      <c r="B1108" s="2831" t="s">
        <v>3232</v>
      </c>
      <c r="C1108" s="2831">
        <v>286</v>
      </c>
      <c r="D1108" s="2831" t="s">
        <v>3308</v>
      </c>
      <c r="E1108" s="2831" t="s">
        <v>2174</v>
      </c>
    </row>
    <row r="1109" spans="1:5">
      <c r="A1109" s="2831">
        <v>660</v>
      </c>
      <c r="B1109" s="2831" t="s">
        <v>3232</v>
      </c>
      <c r="C1109" s="2831">
        <v>397</v>
      </c>
      <c r="D1109" s="2831" t="s">
        <v>3309</v>
      </c>
      <c r="E1109" s="2831" t="s">
        <v>2166</v>
      </c>
    </row>
    <row r="1110" spans="1:5">
      <c r="A1110" s="2831">
        <v>660</v>
      </c>
      <c r="B1110" s="2831" t="s">
        <v>3232</v>
      </c>
      <c r="C1110" s="2831">
        <v>402</v>
      </c>
      <c r="D1110" s="2831" t="s">
        <v>3310</v>
      </c>
      <c r="E1110" s="2831" t="s">
        <v>2166</v>
      </c>
    </row>
    <row r="1111" spans="1:5">
      <c r="A1111" s="2831">
        <v>660</v>
      </c>
      <c r="B1111" s="2831" t="s">
        <v>3232</v>
      </c>
      <c r="C1111" s="2831">
        <v>3066</v>
      </c>
      <c r="D1111" s="2831" t="s">
        <v>3311</v>
      </c>
      <c r="E1111" s="2831" t="s">
        <v>2169</v>
      </c>
    </row>
    <row r="1112" spans="1:5">
      <c r="A1112" s="2831">
        <v>660</v>
      </c>
      <c r="B1112" s="2831" t="s">
        <v>3232</v>
      </c>
      <c r="C1112" s="2831">
        <v>191</v>
      </c>
      <c r="D1112" s="2831" t="s">
        <v>3312</v>
      </c>
      <c r="E1112" s="2831" t="s">
        <v>2166</v>
      </c>
    </row>
    <row r="1113" spans="1:5">
      <c r="A1113" s="2831">
        <v>660</v>
      </c>
      <c r="B1113" s="2831" t="s">
        <v>3232</v>
      </c>
      <c r="C1113" s="2831">
        <v>1067</v>
      </c>
      <c r="D1113" s="2831" t="s">
        <v>3313</v>
      </c>
      <c r="E1113" s="2831" t="s">
        <v>2166</v>
      </c>
    </row>
    <row r="1114" spans="1:5">
      <c r="A1114" s="2831">
        <v>660</v>
      </c>
      <c r="B1114" s="2831" t="s">
        <v>3232</v>
      </c>
      <c r="C1114" s="2831">
        <v>273</v>
      </c>
      <c r="D1114" s="2831" t="s">
        <v>3314</v>
      </c>
      <c r="E1114" s="2831" t="s">
        <v>2174</v>
      </c>
    </row>
    <row r="1115" spans="1:5">
      <c r="A1115" s="2831">
        <v>660</v>
      </c>
      <c r="B1115" s="2831" t="s">
        <v>3232</v>
      </c>
      <c r="C1115" s="2831">
        <v>505</v>
      </c>
      <c r="D1115" s="2831" t="s">
        <v>3315</v>
      </c>
      <c r="E1115" s="2831" t="s">
        <v>2174</v>
      </c>
    </row>
    <row r="1116" spans="1:5">
      <c r="A1116" s="2831">
        <v>660</v>
      </c>
      <c r="B1116" s="2831" t="s">
        <v>3232</v>
      </c>
      <c r="C1116" s="2831">
        <v>603</v>
      </c>
      <c r="D1116" s="2831" t="s">
        <v>3316</v>
      </c>
      <c r="E1116" s="2831" t="s">
        <v>2166</v>
      </c>
    </row>
    <row r="1117" spans="1:5">
      <c r="A1117" s="2831">
        <v>660</v>
      </c>
      <c r="B1117" s="2831" t="s">
        <v>3232</v>
      </c>
      <c r="C1117" s="2831">
        <v>398</v>
      </c>
      <c r="D1117" s="2831" t="s">
        <v>3317</v>
      </c>
      <c r="E1117" s="2831" t="s">
        <v>2166</v>
      </c>
    </row>
    <row r="1118" spans="1:5">
      <c r="A1118" s="2831">
        <v>660</v>
      </c>
      <c r="B1118" s="2831" t="s">
        <v>3232</v>
      </c>
      <c r="C1118" s="2831">
        <v>1320</v>
      </c>
      <c r="D1118" s="2831" t="s">
        <v>3318</v>
      </c>
      <c r="E1118" s="2831" t="s">
        <v>2169</v>
      </c>
    </row>
    <row r="1119" spans="1:5">
      <c r="A1119" s="2831">
        <v>660</v>
      </c>
      <c r="B1119" s="2831" t="s">
        <v>3232</v>
      </c>
      <c r="C1119" s="2831">
        <v>104</v>
      </c>
      <c r="D1119" s="2831" t="s">
        <v>3319</v>
      </c>
      <c r="E1119" s="2831" t="s">
        <v>2166</v>
      </c>
    </row>
    <row r="1120" spans="1:5">
      <c r="A1120" s="2831">
        <v>660</v>
      </c>
      <c r="B1120" s="2831" t="s">
        <v>3232</v>
      </c>
      <c r="C1120" s="2831">
        <v>297</v>
      </c>
      <c r="D1120" s="2831" t="s">
        <v>3320</v>
      </c>
      <c r="E1120" s="2831" t="s">
        <v>2174</v>
      </c>
    </row>
    <row r="1121" spans="1:5">
      <c r="A1121" s="2831">
        <v>660</v>
      </c>
      <c r="B1121" s="2831" t="s">
        <v>3232</v>
      </c>
      <c r="C1121" s="2831">
        <v>199</v>
      </c>
      <c r="D1121" s="2831" t="s">
        <v>3321</v>
      </c>
      <c r="E1121" s="2831" t="s">
        <v>2174</v>
      </c>
    </row>
    <row r="1122" spans="1:5">
      <c r="A1122" s="2831">
        <v>660</v>
      </c>
      <c r="B1122" s="2831" t="s">
        <v>3232</v>
      </c>
      <c r="C1122" s="2831">
        <v>100</v>
      </c>
      <c r="D1122" s="2831" t="s">
        <v>3322</v>
      </c>
      <c r="E1122" s="2831" t="s">
        <v>2166</v>
      </c>
    </row>
    <row r="1123" spans="1:5">
      <c r="A1123" s="2831">
        <v>660</v>
      </c>
      <c r="B1123" s="2831" t="s">
        <v>3232</v>
      </c>
      <c r="C1123" s="2831">
        <v>298</v>
      </c>
      <c r="D1123" s="2831" t="s">
        <v>3323</v>
      </c>
      <c r="E1123" s="2831" t="s">
        <v>2174</v>
      </c>
    </row>
    <row r="1124" spans="1:5">
      <c r="A1124" s="2831">
        <v>660</v>
      </c>
      <c r="B1124" s="2831" t="s">
        <v>3232</v>
      </c>
      <c r="C1124" s="2831">
        <v>591</v>
      </c>
      <c r="D1124" s="2831" t="s">
        <v>3324</v>
      </c>
      <c r="E1124" s="2831" t="s">
        <v>2174</v>
      </c>
    </row>
    <row r="1125" spans="1:5">
      <c r="A1125" s="2831">
        <v>660</v>
      </c>
      <c r="B1125" s="2831" t="s">
        <v>3232</v>
      </c>
      <c r="C1125" s="2831">
        <v>691</v>
      </c>
      <c r="D1125" s="2831" t="s">
        <v>3325</v>
      </c>
      <c r="E1125" s="2831" t="s">
        <v>2174</v>
      </c>
    </row>
    <row r="1126" spans="1:5">
      <c r="A1126" s="2831">
        <v>660</v>
      </c>
      <c r="B1126" s="2831" t="s">
        <v>3232</v>
      </c>
      <c r="C1126" s="2831">
        <v>1316</v>
      </c>
      <c r="D1126" s="2831" t="s">
        <v>3326</v>
      </c>
      <c r="E1126" s="2831" t="s">
        <v>2174</v>
      </c>
    </row>
    <row r="1127" spans="1:5">
      <c r="A1127" s="2831">
        <v>660</v>
      </c>
      <c r="B1127" s="2831" t="s">
        <v>3232</v>
      </c>
      <c r="C1127" s="2831">
        <v>497</v>
      </c>
      <c r="D1127" s="2831" t="s">
        <v>3327</v>
      </c>
      <c r="E1127" s="2831" t="s">
        <v>2174</v>
      </c>
    </row>
    <row r="1128" spans="1:5">
      <c r="A1128" s="2831">
        <v>660</v>
      </c>
      <c r="B1128" s="2831" t="s">
        <v>3232</v>
      </c>
      <c r="C1128" s="2831">
        <v>5069</v>
      </c>
      <c r="D1128" s="2831" t="s">
        <v>3328</v>
      </c>
      <c r="E1128" s="2831" t="s">
        <v>2174</v>
      </c>
    </row>
    <row r="1129" spans="1:5">
      <c r="A1129" s="2831">
        <v>660</v>
      </c>
      <c r="B1129" s="2831" t="s">
        <v>3232</v>
      </c>
      <c r="C1129" s="2831">
        <v>405</v>
      </c>
      <c r="D1129" s="2831" t="s">
        <v>3329</v>
      </c>
      <c r="E1129" s="2831" t="s">
        <v>2174</v>
      </c>
    </row>
    <row r="1130" spans="1:5">
      <c r="A1130" s="2831">
        <v>660</v>
      </c>
      <c r="B1130" s="2831" t="s">
        <v>3232</v>
      </c>
      <c r="C1130" s="2831">
        <v>1317</v>
      </c>
      <c r="D1130" s="2831" t="s">
        <v>3330</v>
      </c>
      <c r="E1130" s="2831" t="s">
        <v>2166</v>
      </c>
    </row>
    <row r="1131" spans="1:5">
      <c r="A1131" s="2831">
        <v>660</v>
      </c>
      <c r="B1131" s="2831" t="s">
        <v>3232</v>
      </c>
      <c r="C1131" s="2831">
        <v>702</v>
      </c>
      <c r="D1131" s="2831" t="s">
        <v>3331</v>
      </c>
      <c r="E1131" s="2831" t="s">
        <v>2166</v>
      </c>
    </row>
    <row r="1132" spans="1:5">
      <c r="A1132" s="2831">
        <v>660</v>
      </c>
      <c r="B1132" s="2831" t="s">
        <v>3232</v>
      </c>
      <c r="C1132" s="2831">
        <v>289</v>
      </c>
      <c r="D1132" s="2831" t="s">
        <v>3332</v>
      </c>
      <c r="E1132" s="2831" t="s">
        <v>2174</v>
      </c>
    </row>
    <row r="1133" spans="1:5">
      <c r="A1133" s="2831">
        <v>776</v>
      </c>
      <c r="B1133" s="2831" t="s">
        <v>3333</v>
      </c>
      <c r="C1133" s="2831">
        <v>193</v>
      </c>
      <c r="D1133" s="2831" t="s">
        <v>3334</v>
      </c>
      <c r="E1133" s="2831" t="s">
        <v>2166</v>
      </c>
    </row>
    <row r="1134" spans="1:5">
      <c r="A1134" s="2831">
        <v>776</v>
      </c>
      <c r="B1134" s="2831" t="s">
        <v>3333</v>
      </c>
      <c r="C1134" s="2831">
        <v>2050</v>
      </c>
      <c r="D1134" s="2831" t="s">
        <v>3335</v>
      </c>
      <c r="E1134" s="2831" t="s">
        <v>2166</v>
      </c>
    </row>
    <row r="1135" spans="1:5">
      <c r="A1135" s="2831">
        <v>776</v>
      </c>
      <c r="B1135" s="2831" t="s">
        <v>3333</v>
      </c>
      <c r="C1135" s="2831">
        <v>2550</v>
      </c>
      <c r="D1135" s="2831" t="s">
        <v>3336</v>
      </c>
      <c r="E1135" s="2831" t="s">
        <v>2169</v>
      </c>
    </row>
    <row r="1136" spans="1:5">
      <c r="A1136" s="2831">
        <v>776</v>
      </c>
      <c r="B1136" s="2831" t="s">
        <v>3333</v>
      </c>
      <c r="C1136" s="2831">
        <v>204</v>
      </c>
      <c r="D1136" s="2831" t="s">
        <v>3337</v>
      </c>
      <c r="E1136" s="2831" t="s">
        <v>2166</v>
      </c>
    </row>
    <row r="1137" spans="1:5">
      <c r="A1137" s="2831">
        <v>776</v>
      </c>
      <c r="B1137" s="2831" t="s">
        <v>3333</v>
      </c>
      <c r="C1137" s="2831">
        <v>3050</v>
      </c>
      <c r="D1137" s="2831" t="s">
        <v>3338</v>
      </c>
      <c r="E1137" s="2831" t="s">
        <v>2169</v>
      </c>
    </row>
    <row r="1138" spans="1:5">
      <c r="A1138" s="2831">
        <v>776</v>
      </c>
      <c r="B1138" s="2831" t="s">
        <v>3333</v>
      </c>
      <c r="C1138" s="2831">
        <v>110</v>
      </c>
      <c r="D1138" s="2831" t="s">
        <v>3339</v>
      </c>
      <c r="E1138" s="2831" t="s">
        <v>2169</v>
      </c>
    </row>
    <row r="1139" spans="1:5">
      <c r="A1139" s="2831">
        <v>776</v>
      </c>
      <c r="B1139" s="2831" t="s">
        <v>3333</v>
      </c>
      <c r="C1139" s="2831">
        <v>109</v>
      </c>
      <c r="D1139" s="2831" t="s">
        <v>3340</v>
      </c>
      <c r="E1139" s="2831" t="s">
        <v>2169</v>
      </c>
    </row>
    <row r="1140" spans="1:5">
      <c r="A1140" s="2831">
        <v>776</v>
      </c>
      <c r="B1140" s="2831" t="s">
        <v>3333</v>
      </c>
      <c r="C1140" s="2831">
        <v>211</v>
      </c>
      <c r="D1140" s="2831" t="s">
        <v>3341</v>
      </c>
      <c r="E1140" s="2831" t="s">
        <v>2174</v>
      </c>
    </row>
    <row r="1141" spans="1:5">
      <c r="A1141" s="2831">
        <v>776</v>
      </c>
      <c r="B1141" s="2831" t="s">
        <v>3333</v>
      </c>
      <c r="C1141" s="2831">
        <v>104</v>
      </c>
      <c r="D1141" s="2831" t="s">
        <v>3342</v>
      </c>
      <c r="E1141" s="2831" t="s">
        <v>2174</v>
      </c>
    </row>
    <row r="1142" spans="1:5">
      <c r="A1142" s="2831">
        <v>661</v>
      </c>
      <c r="B1142" s="2831" t="s">
        <v>3343</v>
      </c>
      <c r="C1142" s="2831">
        <v>113</v>
      </c>
      <c r="D1142" s="2831" t="s">
        <v>2308</v>
      </c>
      <c r="E1142" s="2831" t="s">
        <v>2174</v>
      </c>
    </row>
    <row r="1143" spans="1:5">
      <c r="A1143" s="2831">
        <v>661</v>
      </c>
      <c r="B1143" s="2831" t="s">
        <v>3343</v>
      </c>
      <c r="C1143" s="2831">
        <v>107</v>
      </c>
      <c r="D1143" s="2831" t="s">
        <v>3344</v>
      </c>
      <c r="E1143" s="2831" t="s">
        <v>2174</v>
      </c>
    </row>
    <row r="1144" spans="1:5">
      <c r="A1144" s="2831">
        <v>661</v>
      </c>
      <c r="B1144" s="2831" t="s">
        <v>3343</v>
      </c>
      <c r="C1144" s="2831">
        <v>212</v>
      </c>
      <c r="D1144" s="2831" t="s">
        <v>3345</v>
      </c>
      <c r="E1144" s="2831" t="s">
        <v>2169</v>
      </c>
    </row>
    <row r="1145" spans="1:5">
      <c r="A1145" s="2831">
        <v>661</v>
      </c>
      <c r="B1145" s="2831" t="s">
        <v>3343</v>
      </c>
      <c r="C1145" s="2831">
        <v>196</v>
      </c>
      <c r="D1145" s="2831" t="s">
        <v>3346</v>
      </c>
      <c r="E1145" s="2831" t="s">
        <v>2174</v>
      </c>
    </row>
    <row r="1146" spans="1:5">
      <c r="A1146" s="2831">
        <v>661</v>
      </c>
      <c r="B1146" s="2831" t="s">
        <v>3343</v>
      </c>
      <c r="C1146" s="2831">
        <v>103</v>
      </c>
      <c r="D1146" s="2831" t="s">
        <v>3347</v>
      </c>
      <c r="E1146" s="2831" t="s">
        <v>2174</v>
      </c>
    </row>
    <row r="1147" spans="1:5">
      <c r="A1147" s="2831">
        <v>662</v>
      </c>
      <c r="B1147" s="2831" t="s">
        <v>3348</v>
      </c>
      <c r="C1147" s="2831">
        <v>197</v>
      </c>
      <c r="D1147" s="2831" t="s">
        <v>3349</v>
      </c>
      <c r="E1147" s="2831" t="s">
        <v>2166</v>
      </c>
    </row>
    <row r="1148" spans="1:5">
      <c r="A1148" s="2831">
        <v>662</v>
      </c>
      <c r="B1148" s="2831" t="s">
        <v>3348</v>
      </c>
      <c r="C1148" s="2831">
        <v>196</v>
      </c>
      <c r="D1148" s="2831" t="s">
        <v>3350</v>
      </c>
      <c r="E1148" s="2831" t="s">
        <v>2166</v>
      </c>
    </row>
    <row r="1149" spans="1:5">
      <c r="A1149" s="2831">
        <v>663</v>
      </c>
      <c r="B1149" s="2831" t="s">
        <v>3351</v>
      </c>
      <c r="C1149" s="2831">
        <v>1052</v>
      </c>
      <c r="D1149" s="2831" t="s">
        <v>3352</v>
      </c>
      <c r="E1149" s="2831" t="s">
        <v>2174</v>
      </c>
    </row>
    <row r="1150" spans="1:5">
      <c r="A1150" s="2831">
        <v>663</v>
      </c>
      <c r="B1150" s="2831" t="s">
        <v>3351</v>
      </c>
      <c r="C1150" s="2831">
        <v>3552</v>
      </c>
      <c r="D1150" s="2831" t="s">
        <v>3353</v>
      </c>
      <c r="E1150" s="2831" t="s">
        <v>2174</v>
      </c>
    </row>
    <row r="1151" spans="1:5">
      <c r="A1151" s="2831">
        <v>663</v>
      </c>
      <c r="B1151" s="2831" t="s">
        <v>3351</v>
      </c>
      <c r="C1151" s="2831">
        <v>4052</v>
      </c>
      <c r="D1151" s="2831" t="s">
        <v>3354</v>
      </c>
      <c r="E1151" s="2831" t="s">
        <v>2166</v>
      </c>
    </row>
    <row r="1152" spans="1:5">
      <c r="A1152" s="2831">
        <v>663</v>
      </c>
      <c r="B1152" s="2831" t="s">
        <v>3351</v>
      </c>
      <c r="C1152" s="2831">
        <v>178</v>
      </c>
      <c r="D1152" s="2831" t="s">
        <v>3355</v>
      </c>
      <c r="E1152" s="2831" t="s">
        <v>2166</v>
      </c>
    </row>
    <row r="1153" spans="1:5">
      <c r="A1153" s="2831">
        <v>663</v>
      </c>
      <c r="B1153" s="2831" t="s">
        <v>3351</v>
      </c>
      <c r="C1153" s="2831">
        <v>4752</v>
      </c>
      <c r="D1153" s="2831" t="s">
        <v>3356</v>
      </c>
      <c r="E1153" s="2831" t="s">
        <v>2174</v>
      </c>
    </row>
    <row r="1154" spans="1:5">
      <c r="A1154" s="2831">
        <v>663</v>
      </c>
      <c r="B1154" s="2831" t="s">
        <v>3351</v>
      </c>
      <c r="C1154" s="2831">
        <v>112</v>
      </c>
      <c r="D1154" s="2831" t="s">
        <v>3357</v>
      </c>
      <c r="E1154" s="2831" t="s">
        <v>2166</v>
      </c>
    </row>
    <row r="1155" spans="1:5">
      <c r="A1155" s="2831">
        <v>663</v>
      </c>
      <c r="B1155" s="2831" t="s">
        <v>3351</v>
      </c>
      <c r="C1155" s="2831">
        <v>190</v>
      </c>
      <c r="D1155" s="2831" t="s">
        <v>3358</v>
      </c>
      <c r="E1155" s="2831" t="s">
        <v>2174</v>
      </c>
    </row>
    <row r="1156" spans="1:5">
      <c r="A1156" s="2831">
        <v>663</v>
      </c>
      <c r="B1156" s="2831" t="s">
        <v>3351</v>
      </c>
      <c r="C1156" s="2831">
        <v>5052</v>
      </c>
      <c r="D1156" s="2831" t="s">
        <v>3359</v>
      </c>
      <c r="E1156" s="2831" t="s">
        <v>2174</v>
      </c>
    </row>
    <row r="1157" spans="1:5">
      <c r="A1157" s="2831">
        <v>663</v>
      </c>
      <c r="B1157" s="2831" t="s">
        <v>3351</v>
      </c>
      <c r="C1157" s="2831">
        <v>298</v>
      </c>
      <c r="D1157" s="2831" t="s">
        <v>3360</v>
      </c>
      <c r="E1157" s="2831" t="s">
        <v>2174</v>
      </c>
    </row>
    <row r="1158" spans="1:5">
      <c r="A1158" s="2831">
        <v>663</v>
      </c>
      <c r="B1158" s="2831" t="s">
        <v>3351</v>
      </c>
      <c r="C1158" s="2831">
        <v>114</v>
      </c>
      <c r="D1158" s="2831" t="s">
        <v>3361</v>
      </c>
      <c r="E1158" s="2831" t="s">
        <v>2166</v>
      </c>
    </row>
    <row r="1159" spans="1:5">
      <c r="A1159" s="2831">
        <v>663</v>
      </c>
      <c r="B1159" s="2831" t="s">
        <v>3351</v>
      </c>
      <c r="C1159" s="2831">
        <v>199</v>
      </c>
      <c r="D1159" s="2831" t="s">
        <v>3362</v>
      </c>
      <c r="E1159" s="2831" t="s">
        <v>2166</v>
      </c>
    </row>
    <row r="1160" spans="1:5">
      <c r="A1160" s="2831">
        <v>663</v>
      </c>
      <c r="B1160" s="2831" t="s">
        <v>3351</v>
      </c>
      <c r="C1160" s="2831">
        <v>195</v>
      </c>
      <c r="D1160" s="2831" t="s">
        <v>3363</v>
      </c>
      <c r="E1160" s="2831" t="s">
        <v>2174</v>
      </c>
    </row>
    <row r="1161" spans="1:5">
      <c r="A1161" s="2831">
        <v>663</v>
      </c>
      <c r="B1161" s="2831" t="s">
        <v>3351</v>
      </c>
      <c r="C1161" s="2831">
        <v>116</v>
      </c>
      <c r="D1161" s="2831" t="s">
        <v>3364</v>
      </c>
      <c r="E1161" s="2831" t="s">
        <v>2174</v>
      </c>
    </row>
    <row r="1162" spans="1:5">
      <c r="A1162" s="2831">
        <v>663</v>
      </c>
      <c r="B1162" s="2831" t="s">
        <v>3351</v>
      </c>
      <c r="C1162" s="2831">
        <v>198</v>
      </c>
      <c r="D1162" s="2831" t="s">
        <v>3365</v>
      </c>
      <c r="E1162" s="2831" t="s">
        <v>2174</v>
      </c>
    </row>
    <row r="1163" spans="1:5">
      <c r="A1163" s="2831">
        <v>663</v>
      </c>
      <c r="B1163" s="2831" t="s">
        <v>3351</v>
      </c>
      <c r="C1163" s="2831">
        <v>1056</v>
      </c>
      <c r="D1163" s="2831" t="s">
        <v>3366</v>
      </c>
      <c r="E1163" s="2831" t="s">
        <v>2174</v>
      </c>
    </row>
    <row r="1164" spans="1:5">
      <c r="A1164" s="2831">
        <v>663</v>
      </c>
      <c r="B1164" s="2831" t="s">
        <v>3351</v>
      </c>
      <c r="C1164" s="2831">
        <v>106</v>
      </c>
      <c r="D1164" s="2831" t="s">
        <v>3367</v>
      </c>
      <c r="E1164" s="2831" t="s">
        <v>2174</v>
      </c>
    </row>
    <row r="1165" spans="1:5">
      <c r="A1165" s="2831">
        <v>664</v>
      </c>
      <c r="B1165" s="2831" t="s">
        <v>3368</v>
      </c>
      <c r="C1165" s="2831">
        <v>292</v>
      </c>
      <c r="D1165" s="2831" t="s">
        <v>3369</v>
      </c>
      <c r="E1165" s="2831" t="s">
        <v>2169</v>
      </c>
    </row>
    <row r="1166" spans="1:5">
      <c r="A1166" s="2831">
        <v>664</v>
      </c>
      <c r="B1166" s="2831" t="s">
        <v>3368</v>
      </c>
      <c r="C1166" s="2831">
        <v>1050</v>
      </c>
      <c r="D1166" s="2831" t="s">
        <v>3370</v>
      </c>
      <c r="E1166" s="2831" t="s">
        <v>2169</v>
      </c>
    </row>
    <row r="1167" spans="1:5">
      <c r="A1167" s="2831">
        <v>664</v>
      </c>
      <c r="B1167" s="2831" t="s">
        <v>3368</v>
      </c>
      <c r="C1167" s="2831">
        <v>2050</v>
      </c>
      <c r="D1167" s="2831" t="s">
        <v>3371</v>
      </c>
      <c r="E1167" s="2831" t="s">
        <v>2166</v>
      </c>
    </row>
    <row r="1168" spans="1:5">
      <c r="A1168" s="2831">
        <v>664</v>
      </c>
      <c r="B1168" s="2831" t="s">
        <v>3368</v>
      </c>
      <c r="C1168" s="2831">
        <v>286</v>
      </c>
      <c r="D1168" s="2831" t="s">
        <v>3372</v>
      </c>
      <c r="E1168" s="2831" t="s">
        <v>2174</v>
      </c>
    </row>
    <row r="1169" spans="1:5">
      <c r="A1169" s="2831">
        <v>664</v>
      </c>
      <c r="B1169" s="2831" t="s">
        <v>3368</v>
      </c>
      <c r="C1169" s="2831">
        <v>190</v>
      </c>
      <c r="D1169" s="2831" t="s">
        <v>3373</v>
      </c>
      <c r="E1169" s="2831" t="s">
        <v>2166</v>
      </c>
    </row>
    <row r="1170" spans="1:5">
      <c r="A1170" s="2831">
        <v>664</v>
      </c>
      <c r="B1170" s="2831" t="s">
        <v>3368</v>
      </c>
      <c r="C1170" s="2831">
        <v>115</v>
      </c>
      <c r="D1170" s="2831" t="s">
        <v>3374</v>
      </c>
      <c r="E1170" s="2831" t="s">
        <v>2174</v>
      </c>
    </row>
    <row r="1171" spans="1:5">
      <c r="A1171" s="2831">
        <v>664</v>
      </c>
      <c r="B1171" s="2831" t="s">
        <v>3368</v>
      </c>
      <c r="C1171" s="2831">
        <v>110</v>
      </c>
      <c r="D1171" s="2831" t="s">
        <v>3375</v>
      </c>
      <c r="E1171" s="2831" t="s">
        <v>2166</v>
      </c>
    </row>
    <row r="1172" spans="1:5">
      <c r="A1172" s="2831">
        <v>664</v>
      </c>
      <c r="B1172" s="2831" t="s">
        <v>3368</v>
      </c>
      <c r="C1172" s="2831">
        <v>106</v>
      </c>
      <c r="D1172" s="2831" t="s">
        <v>3376</v>
      </c>
      <c r="E1172" s="2831" t="s">
        <v>2174</v>
      </c>
    </row>
    <row r="1173" spans="1:5">
      <c r="A1173" s="2831">
        <v>664</v>
      </c>
      <c r="B1173" s="2831" t="s">
        <v>3368</v>
      </c>
      <c r="C1173" s="2831">
        <v>274</v>
      </c>
      <c r="D1173" s="2831" t="s">
        <v>3377</v>
      </c>
      <c r="E1173" s="2831" t="s">
        <v>2166</v>
      </c>
    </row>
    <row r="1174" spans="1:5">
      <c r="A1174" s="2831">
        <v>664</v>
      </c>
      <c r="B1174" s="2831" t="s">
        <v>3368</v>
      </c>
      <c r="C1174" s="2831">
        <v>176</v>
      </c>
      <c r="D1174" s="2831" t="s">
        <v>3378</v>
      </c>
      <c r="E1174" s="2831" t="s">
        <v>2169</v>
      </c>
    </row>
    <row r="1175" spans="1:5">
      <c r="A1175" s="2831">
        <v>665</v>
      </c>
      <c r="B1175" s="2831" t="s">
        <v>3379</v>
      </c>
      <c r="C1175" s="2831">
        <v>1050</v>
      </c>
      <c r="D1175" s="2831" t="s">
        <v>3380</v>
      </c>
      <c r="E1175" s="2831" t="s">
        <v>2174</v>
      </c>
    </row>
    <row r="1176" spans="1:5">
      <c r="A1176" s="2831">
        <v>665</v>
      </c>
      <c r="B1176" s="2831" t="s">
        <v>3379</v>
      </c>
      <c r="C1176" s="2831">
        <v>185</v>
      </c>
      <c r="D1176" s="2831" t="s">
        <v>2790</v>
      </c>
      <c r="E1176" s="2831" t="s">
        <v>2166</v>
      </c>
    </row>
    <row r="1177" spans="1:5">
      <c r="A1177" s="2831">
        <v>665</v>
      </c>
      <c r="B1177" s="2831" t="s">
        <v>3379</v>
      </c>
      <c r="C1177" s="2831">
        <v>1550</v>
      </c>
      <c r="D1177" s="2831" t="s">
        <v>2870</v>
      </c>
      <c r="E1177" s="2831" t="s">
        <v>2166</v>
      </c>
    </row>
    <row r="1178" spans="1:5">
      <c r="A1178" s="2831">
        <v>665</v>
      </c>
      <c r="B1178" s="2831" t="s">
        <v>3379</v>
      </c>
      <c r="C1178" s="2831">
        <v>3050</v>
      </c>
      <c r="D1178" s="2831" t="s">
        <v>3381</v>
      </c>
      <c r="E1178" s="2831" t="s">
        <v>2166</v>
      </c>
    </row>
    <row r="1179" spans="1:5">
      <c r="A1179" s="2831">
        <v>665</v>
      </c>
      <c r="B1179" s="2831" t="s">
        <v>3379</v>
      </c>
      <c r="C1179" s="2831">
        <v>2050</v>
      </c>
      <c r="D1179" s="2831" t="s">
        <v>3382</v>
      </c>
      <c r="E1179" s="2831" t="s">
        <v>2166</v>
      </c>
    </row>
    <row r="1180" spans="1:5">
      <c r="A1180" s="2831">
        <v>665</v>
      </c>
      <c r="B1180" s="2831" t="s">
        <v>3379</v>
      </c>
      <c r="C1180" s="2831">
        <v>174</v>
      </c>
      <c r="D1180" s="2831" t="s">
        <v>3383</v>
      </c>
      <c r="E1180" s="2831" t="s">
        <v>2166</v>
      </c>
    </row>
    <row r="1181" spans="1:5">
      <c r="A1181" s="2831">
        <v>665</v>
      </c>
      <c r="B1181" s="2831" t="s">
        <v>3379</v>
      </c>
      <c r="C1181" s="2831">
        <v>1054</v>
      </c>
      <c r="D1181" s="2831" t="s">
        <v>3384</v>
      </c>
      <c r="E1181" s="2831" t="s">
        <v>2166</v>
      </c>
    </row>
    <row r="1182" spans="1:5">
      <c r="A1182" s="2831">
        <v>666</v>
      </c>
      <c r="B1182" s="2831" t="s">
        <v>3385</v>
      </c>
      <c r="C1182" s="2831">
        <v>101</v>
      </c>
      <c r="D1182" s="2831" t="s">
        <v>3386</v>
      </c>
      <c r="E1182" s="2831" t="s">
        <v>2166</v>
      </c>
    </row>
    <row r="1183" spans="1:5">
      <c r="A1183" s="2831">
        <v>666</v>
      </c>
      <c r="B1183" s="2831" t="s">
        <v>3385</v>
      </c>
      <c r="C1183" s="2831">
        <v>401</v>
      </c>
      <c r="D1183" s="2831" t="s">
        <v>3387</v>
      </c>
      <c r="E1183" s="2831" t="s">
        <v>2174</v>
      </c>
    </row>
    <row r="1184" spans="1:5">
      <c r="A1184" s="2831">
        <v>666</v>
      </c>
      <c r="B1184" s="2831" t="s">
        <v>3385</v>
      </c>
      <c r="C1184" s="2831">
        <v>201</v>
      </c>
      <c r="D1184" s="2831" t="s">
        <v>3388</v>
      </c>
      <c r="E1184" s="2831" t="s">
        <v>2174</v>
      </c>
    </row>
    <row r="1185" spans="1:5">
      <c r="A1185" s="2831">
        <v>666</v>
      </c>
      <c r="B1185" s="2831" t="s">
        <v>3385</v>
      </c>
      <c r="C1185" s="2831">
        <v>109</v>
      </c>
      <c r="D1185" s="2831" t="s">
        <v>3389</v>
      </c>
      <c r="E1185" s="2831" t="s">
        <v>2166</v>
      </c>
    </row>
    <row r="1186" spans="1:5">
      <c r="A1186" s="2831">
        <v>666</v>
      </c>
      <c r="B1186" s="2831" t="s">
        <v>3385</v>
      </c>
      <c r="C1186" s="2831">
        <v>402</v>
      </c>
      <c r="D1186" s="2831" t="s">
        <v>3390</v>
      </c>
      <c r="E1186" s="2831" t="s">
        <v>2174</v>
      </c>
    </row>
    <row r="1187" spans="1:5">
      <c r="A1187" s="2831">
        <v>726</v>
      </c>
      <c r="B1187" s="2831" t="s">
        <v>3391</v>
      </c>
      <c r="C1187" s="2831">
        <v>1050</v>
      </c>
      <c r="D1187" s="2831" t="s">
        <v>3392</v>
      </c>
      <c r="E1187" s="2831" t="s">
        <v>2169</v>
      </c>
    </row>
    <row r="1188" spans="1:5">
      <c r="A1188" s="2831">
        <v>726</v>
      </c>
      <c r="B1188" s="2831" t="s">
        <v>3391</v>
      </c>
      <c r="C1188" s="2831">
        <v>1550</v>
      </c>
      <c r="D1188" s="2831" t="s">
        <v>2375</v>
      </c>
      <c r="E1188" s="2831" t="s">
        <v>2166</v>
      </c>
    </row>
    <row r="1189" spans="1:5">
      <c r="A1189" s="2831">
        <v>726</v>
      </c>
      <c r="B1189" s="2831" t="s">
        <v>3391</v>
      </c>
      <c r="C1189" s="2831">
        <v>1750</v>
      </c>
      <c r="D1189" s="2831" t="s">
        <v>3393</v>
      </c>
      <c r="E1189" s="2831" t="s">
        <v>2166</v>
      </c>
    </row>
    <row r="1190" spans="1:5">
      <c r="A1190" s="2831">
        <v>726</v>
      </c>
      <c r="B1190" s="2831" t="s">
        <v>3391</v>
      </c>
      <c r="C1190" s="2831">
        <v>106</v>
      </c>
      <c r="D1190" s="2831" t="s">
        <v>3394</v>
      </c>
      <c r="E1190" s="2831" t="s">
        <v>2166</v>
      </c>
    </row>
    <row r="1191" spans="1:5">
      <c r="A1191" s="2831">
        <v>726</v>
      </c>
      <c r="B1191" s="2831" t="s">
        <v>3391</v>
      </c>
      <c r="C1191" s="2831">
        <v>192</v>
      </c>
      <c r="D1191" s="2831" t="s">
        <v>3395</v>
      </c>
      <c r="E1191" s="2831" t="s">
        <v>2169</v>
      </c>
    </row>
    <row r="1192" spans="1:5">
      <c r="A1192" s="2831">
        <v>726</v>
      </c>
      <c r="B1192" s="2831" t="s">
        <v>3391</v>
      </c>
      <c r="C1192" s="2831">
        <v>201</v>
      </c>
      <c r="D1192" s="2831" t="s">
        <v>3396</v>
      </c>
      <c r="E1192" s="2831" t="s">
        <v>2169</v>
      </c>
    </row>
    <row r="1193" spans="1:5">
      <c r="A1193" s="2831">
        <v>726</v>
      </c>
      <c r="B1193" s="2831" t="s">
        <v>3391</v>
      </c>
      <c r="C1193" s="2831">
        <v>2050</v>
      </c>
      <c r="D1193" s="2831" t="s">
        <v>3397</v>
      </c>
      <c r="E1193" s="2831" t="s">
        <v>2166</v>
      </c>
    </row>
    <row r="1194" spans="1:5">
      <c r="A1194" s="2831">
        <v>726</v>
      </c>
      <c r="B1194" s="2831" t="s">
        <v>3391</v>
      </c>
      <c r="C1194" s="2831">
        <v>199</v>
      </c>
      <c r="D1194" s="2831" t="s">
        <v>3398</v>
      </c>
      <c r="E1194" s="2831" t="s">
        <v>2169</v>
      </c>
    </row>
    <row r="1195" spans="1:5">
      <c r="A1195" s="2831">
        <v>726</v>
      </c>
      <c r="B1195" s="2831" t="s">
        <v>3391</v>
      </c>
      <c r="C1195" s="2831">
        <v>187</v>
      </c>
      <c r="D1195" s="2831" t="s">
        <v>3399</v>
      </c>
      <c r="E1195" s="2831" t="s">
        <v>2166</v>
      </c>
    </row>
    <row r="1196" spans="1:5">
      <c r="A1196" s="2831">
        <v>726</v>
      </c>
      <c r="B1196" s="2831" t="s">
        <v>3391</v>
      </c>
      <c r="C1196" s="2831">
        <v>1052</v>
      </c>
      <c r="D1196" s="2831" t="s">
        <v>3400</v>
      </c>
      <c r="E1196" s="2831" t="s">
        <v>2174</v>
      </c>
    </row>
    <row r="1197" spans="1:5">
      <c r="A1197" s="2831">
        <v>726</v>
      </c>
      <c r="B1197" s="2831" t="s">
        <v>3391</v>
      </c>
      <c r="C1197" s="2831">
        <v>195</v>
      </c>
      <c r="D1197" s="2831" t="s">
        <v>3401</v>
      </c>
      <c r="E1197" s="2831" t="s">
        <v>2169</v>
      </c>
    </row>
    <row r="1198" spans="1:5">
      <c r="A1198" s="2831">
        <v>726</v>
      </c>
      <c r="B1198" s="2831" t="s">
        <v>3391</v>
      </c>
      <c r="C1198" s="2831">
        <v>107</v>
      </c>
      <c r="D1198" s="2831" t="s">
        <v>3402</v>
      </c>
      <c r="E1198" s="2831" t="s">
        <v>2166</v>
      </c>
    </row>
    <row r="1199" spans="1:5">
      <c r="A1199" s="2831">
        <v>726</v>
      </c>
      <c r="B1199" s="2831" t="s">
        <v>3391</v>
      </c>
      <c r="C1199" s="2831">
        <v>2552</v>
      </c>
      <c r="D1199" s="2831" t="s">
        <v>3403</v>
      </c>
      <c r="E1199" s="2831" t="s">
        <v>2169</v>
      </c>
    </row>
    <row r="1200" spans="1:5">
      <c r="A1200" s="2831">
        <v>726</v>
      </c>
      <c r="B1200" s="2831" t="s">
        <v>3391</v>
      </c>
      <c r="C1200" s="2831">
        <v>103</v>
      </c>
      <c r="D1200" s="2831" t="s">
        <v>3404</v>
      </c>
      <c r="E1200" s="2831" t="s">
        <v>2166</v>
      </c>
    </row>
    <row r="1201" spans="1:5">
      <c r="A1201" s="2831">
        <v>726</v>
      </c>
      <c r="B1201" s="2831" t="s">
        <v>3391</v>
      </c>
      <c r="C1201" s="2831">
        <v>4052</v>
      </c>
      <c r="D1201" s="2831" t="s">
        <v>3405</v>
      </c>
      <c r="E1201" s="2831" t="s">
        <v>2166</v>
      </c>
    </row>
    <row r="1202" spans="1:5">
      <c r="A1202" s="2831">
        <v>726</v>
      </c>
      <c r="B1202" s="2831" t="s">
        <v>3391</v>
      </c>
      <c r="C1202" s="2831">
        <v>110</v>
      </c>
      <c r="D1202" s="2831" t="s">
        <v>3406</v>
      </c>
      <c r="E1202" s="2831" t="s">
        <v>2166</v>
      </c>
    </row>
    <row r="1203" spans="1:5">
      <c r="A1203" s="2831">
        <v>726</v>
      </c>
      <c r="B1203" s="2831" t="s">
        <v>3391</v>
      </c>
      <c r="C1203" s="2831">
        <v>101</v>
      </c>
      <c r="D1203" s="2831" t="s">
        <v>3407</v>
      </c>
      <c r="E1203" s="2831" t="s">
        <v>2169</v>
      </c>
    </row>
    <row r="1204" spans="1:5">
      <c r="A1204" s="2831">
        <v>667</v>
      </c>
      <c r="B1204" s="2831" t="s">
        <v>3408</v>
      </c>
      <c r="C1204" s="2831">
        <v>1005</v>
      </c>
      <c r="D1204" s="2831" t="s">
        <v>3409</v>
      </c>
      <c r="E1204" s="2831" t="s">
        <v>2169</v>
      </c>
    </row>
    <row r="1205" spans="1:5">
      <c r="A1205" s="2831">
        <v>667</v>
      </c>
      <c r="B1205" s="2831" t="s">
        <v>3408</v>
      </c>
      <c r="C1205" s="2831">
        <v>1105</v>
      </c>
      <c r="D1205" s="2831" t="s">
        <v>3410</v>
      </c>
      <c r="E1205" s="2831" t="s">
        <v>2169</v>
      </c>
    </row>
    <row r="1206" spans="1:5">
      <c r="A1206" s="2831">
        <v>667</v>
      </c>
      <c r="B1206" s="2831" t="s">
        <v>3408</v>
      </c>
      <c r="C1206" s="2831">
        <v>1016</v>
      </c>
      <c r="D1206" s="2831" t="s">
        <v>3411</v>
      </c>
      <c r="E1206" s="2831" t="s">
        <v>2174</v>
      </c>
    </row>
    <row r="1207" spans="1:5">
      <c r="A1207" s="2831">
        <v>667</v>
      </c>
      <c r="B1207" s="2831" t="s">
        <v>3408</v>
      </c>
      <c r="C1207" s="2831">
        <v>282</v>
      </c>
      <c r="D1207" s="2831" t="s">
        <v>3412</v>
      </c>
      <c r="E1207" s="2831" t="s">
        <v>2166</v>
      </c>
    </row>
    <row r="1208" spans="1:5">
      <c r="A1208" s="2831">
        <v>667</v>
      </c>
      <c r="B1208" s="2831" t="s">
        <v>3408</v>
      </c>
      <c r="C1208" s="2831">
        <v>382</v>
      </c>
      <c r="D1208" s="2831" t="s">
        <v>3413</v>
      </c>
      <c r="E1208" s="2831" t="s">
        <v>2174</v>
      </c>
    </row>
    <row r="1209" spans="1:5">
      <c r="A1209" s="2831">
        <v>667</v>
      </c>
      <c r="B1209" s="2831" t="s">
        <v>3408</v>
      </c>
      <c r="C1209" s="2831">
        <v>1710</v>
      </c>
      <c r="D1209" s="2831" t="s">
        <v>3414</v>
      </c>
      <c r="E1209" s="2831" t="s">
        <v>2166</v>
      </c>
    </row>
    <row r="1210" spans="1:5">
      <c r="A1210" s="2831">
        <v>667</v>
      </c>
      <c r="B1210" s="2831" t="s">
        <v>3408</v>
      </c>
      <c r="C1210" s="2831">
        <v>1811</v>
      </c>
      <c r="D1210" s="2831" t="s">
        <v>3415</v>
      </c>
      <c r="E1210" s="2831" t="s">
        <v>2166</v>
      </c>
    </row>
    <row r="1211" spans="1:5">
      <c r="A1211" s="2831">
        <v>667</v>
      </c>
      <c r="B1211" s="2831" t="s">
        <v>3408</v>
      </c>
      <c r="C1211" s="2831">
        <v>1816</v>
      </c>
      <c r="D1211" s="2831" t="s">
        <v>3416</v>
      </c>
      <c r="E1211" s="2831" t="s">
        <v>2169</v>
      </c>
    </row>
    <row r="1212" spans="1:5">
      <c r="A1212" s="2831">
        <v>667</v>
      </c>
      <c r="B1212" s="2831" t="s">
        <v>3408</v>
      </c>
      <c r="C1212" s="2831">
        <v>1010</v>
      </c>
      <c r="D1212" s="2831" t="s">
        <v>3417</v>
      </c>
      <c r="E1212" s="2831" t="s">
        <v>2174</v>
      </c>
    </row>
    <row r="1213" spans="1:5">
      <c r="A1213" s="2831">
        <v>667</v>
      </c>
      <c r="B1213" s="2831" t="s">
        <v>3408</v>
      </c>
      <c r="C1213" s="2831">
        <v>280</v>
      </c>
      <c r="D1213" s="2831" t="s">
        <v>3418</v>
      </c>
      <c r="E1213" s="2831" t="s">
        <v>2174</v>
      </c>
    </row>
    <row r="1214" spans="1:5">
      <c r="A1214" s="2831">
        <v>667</v>
      </c>
      <c r="B1214" s="2831" t="s">
        <v>3408</v>
      </c>
      <c r="C1214" s="2831">
        <v>109</v>
      </c>
      <c r="D1214" s="2831" t="s">
        <v>3419</v>
      </c>
      <c r="E1214" s="2831" t="s">
        <v>2174</v>
      </c>
    </row>
    <row r="1215" spans="1:5">
      <c r="A1215" s="2831">
        <v>667</v>
      </c>
      <c r="B1215" s="2831" t="s">
        <v>3408</v>
      </c>
      <c r="C1215" s="2831">
        <v>184</v>
      </c>
      <c r="D1215" s="2831" t="s">
        <v>3420</v>
      </c>
      <c r="E1215" s="2831" t="s">
        <v>2169</v>
      </c>
    </row>
    <row r="1216" spans="1:5">
      <c r="A1216" s="2831">
        <v>667</v>
      </c>
      <c r="B1216" s="2831" t="s">
        <v>3408</v>
      </c>
      <c r="C1216" s="2831">
        <v>1050</v>
      </c>
      <c r="D1216" s="2831" t="s">
        <v>3421</v>
      </c>
      <c r="E1216" s="2831" t="s">
        <v>2169</v>
      </c>
    </row>
    <row r="1217" spans="1:5">
      <c r="A1217" s="2831">
        <v>667</v>
      </c>
      <c r="B1217" s="2831" t="s">
        <v>3408</v>
      </c>
      <c r="C1217" s="2831">
        <v>304</v>
      </c>
      <c r="D1217" s="2831" t="s">
        <v>3422</v>
      </c>
      <c r="E1217" s="2831" t="s">
        <v>2166</v>
      </c>
    </row>
    <row r="1218" spans="1:5">
      <c r="A1218" s="2831">
        <v>667</v>
      </c>
      <c r="B1218" s="2831" t="s">
        <v>3408</v>
      </c>
      <c r="C1218" s="2831">
        <v>2050</v>
      </c>
      <c r="D1218" s="2831" t="s">
        <v>3423</v>
      </c>
      <c r="E1218" s="2831" t="s">
        <v>2174</v>
      </c>
    </row>
    <row r="1219" spans="1:5">
      <c r="A1219" s="2831">
        <v>667</v>
      </c>
      <c r="B1219" s="2831" t="s">
        <v>3408</v>
      </c>
      <c r="C1219" s="2831">
        <v>3050</v>
      </c>
      <c r="D1219" s="2831" t="s">
        <v>3424</v>
      </c>
      <c r="E1219" s="2831" t="s">
        <v>2169</v>
      </c>
    </row>
    <row r="1220" spans="1:5">
      <c r="A1220" s="2831">
        <v>667</v>
      </c>
      <c r="B1220" s="2831" t="s">
        <v>3408</v>
      </c>
      <c r="C1220" s="2831">
        <v>286</v>
      </c>
      <c r="D1220" s="2831" t="s">
        <v>2815</v>
      </c>
      <c r="E1220" s="2831" t="s">
        <v>2166</v>
      </c>
    </row>
    <row r="1221" spans="1:5">
      <c r="A1221" s="2831">
        <v>667</v>
      </c>
      <c r="B1221" s="2831" t="s">
        <v>3408</v>
      </c>
      <c r="C1221" s="2831">
        <v>182</v>
      </c>
      <c r="D1221" s="2831" t="s">
        <v>3425</v>
      </c>
      <c r="E1221" s="2831" t="s">
        <v>2166</v>
      </c>
    </row>
    <row r="1222" spans="1:5">
      <c r="A1222" s="2831">
        <v>667</v>
      </c>
      <c r="B1222" s="2831" t="s">
        <v>3408</v>
      </c>
      <c r="C1222" s="2831">
        <v>1017</v>
      </c>
      <c r="D1222" s="2831" t="s">
        <v>3426</v>
      </c>
      <c r="E1222" s="2831" t="s">
        <v>2174</v>
      </c>
    </row>
    <row r="1223" spans="1:5">
      <c r="A1223" s="2831">
        <v>667</v>
      </c>
      <c r="B1223" s="2831" t="s">
        <v>3408</v>
      </c>
      <c r="C1223" s="2831">
        <v>3550</v>
      </c>
      <c r="D1223" s="2831" t="s">
        <v>3427</v>
      </c>
      <c r="E1223" s="2831" t="s">
        <v>2166</v>
      </c>
    </row>
    <row r="1224" spans="1:5">
      <c r="A1224" s="2831">
        <v>667</v>
      </c>
      <c r="B1224" s="2831" t="s">
        <v>3408</v>
      </c>
      <c r="C1224" s="2831">
        <v>389</v>
      </c>
      <c r="D1224" s="2831" t="s">
        <v>3428</v>
      </c>
      <c r="E1224" s="2831" t="s">
        <v>2169</v>
      </c>
    </row>
    <row r="1225" spans="1:5">
      <c r="A1225" s="2831">
        <v>667</v>
      </c>
      <c r="B1225" s="2831" t="s">
        <v>3408</v>
      </c>
      <c r="C1225" s="2831">
        <v>173</v>
      </c>
      <c r="D1225" s="2831" t="s">
        <v>3429</v>
      </c>
      <c r="E1225" s="2831" t="s">
        <v>2166</v>
      </c>
    </row>
    <row r="1226" spans="1:5">
      <c r="A1226" s="2831">
        <v>667</v>
      </c>
      <c r="B1226" s="2831" t="s">
        <v>3408</v>
      </c>
      <c r="C1226" s="2831">
        <v>3750</v>
      </c>
      <c r="D1226" s="2831" t="s">
        <v>3430</v>
      </c>
      <c r="E1226" s="2831" t="s">
        <v>2166</v>
      </c>
    </row>
    <row r="1227" spans="1:5">
      <c r="A1227" s="2831">
        <v>667</v>
      </c>
      <c r="B1227" s="2831" t="s">
        <v>3408</v>
      </c>
      <c r="C1227" s="2831">
        <v>190</v>
      </c>
      <c r="D1227" s="2831" t="s">
        <v>3189</v>
      </c>
      <c r="E1227" s="2831" t="s">
        <v>2166</v>
      </c>
    </row>
    <row r="1228" spans="1:5">
      <c r="A1228" s="2831">
        <v>667</v>
      </c>
      <c r="B1228" s="2831" t="s">
        <v>3408</v>
      </c>
      <c r="C1228" s="2831">
        <v>1605</v>
      </c>
      <c r="D1228" s="2831" t="s">
        <v>3431</v>
      </c>
      <c r="E1228" s="2831" t="s">
        <v>2166</v>
      </c>
    </row>
    <row r="1229" spans="1:5">
      <c r="A1229" s="2831">
        <v>667</v>
      </c>
      <c r="B1229" s="2831" t="s">
        <v>3408</v>
      </c>
      <c r="C1229" s="2831">
        <v>1815</v>
      </c>
      <c r="D1229" s="2831" t="s">
        <v>3432</v>
      </c>
      <c r="E1229" s="2831" t="s">
        <v>2174</v>
      </c>
    </row>
    <row r="1230" spans="1:5">
      <c r="A1230" s="2831">
        <v>667</v>
      </c>
      <c r="B1230" s="2831" t="s">
        <v>3408</v>
      </c>
      <c r="C1230" s="2831">
        <v>195</v>
      </c>
      <c r="D1230" s="2831" t="s">
        <v>3433</v>
      </c>
      <c r="E1230" s="2831" t="s">
        <v>2166</v>
      </c>
    </row>
    <row r="1231" spans="1:5">
      <c r="A1231" s="2831">
        <v>667</v>
      </c>
      <c r="B1231" s="2831" t="s">
        <v>3408</v>
      </c>
      <c r="C1231" s="2831">
        <v>605</v>
      </c>
      <c r="D1231" s="2831" t="s">
        <v>3434</v>
      </c>
      <c r="E1231" s="2831" t="s">
        <v>2169</v>
      </c>
    </row>
    <row r="1232" spans="1:5">
      <c r="A1232" s="2831">
        <v>667</v>
      </c>
      <c r="B1232" s="2831" t="s">
        <v>3408</v>
      </c>
      <c r="C1232" s="2831">
        <v>205</v>
      </c>
      <c r="D1232" s="2831" t="s">
        <v>3435</v>
      </c>
      <c r="E1232" s="2831" t="s">
        <v>2169</v>
      </c>
    </row>
    <row r="1233" spans="1:5">
      <c r="A1233" s="2831">
        <v>667</v>
      </c>
      <c r="B1233" s="2831" t="s">
        <v>3408</v>
      </c>
      <c r="C1233" s="2831">
        <v>1210</v>
      </c>
      <c r="D1233" s="2831" t="s">
        <v>3436</v>
      </c>
      <c r="E1233" s="2831" t="s">
        <v>2174</v>
      </c>
    </row>
    <row r="1234" spans="1:5">
      <c r="A1234" s="2831">
        <v>667</v>
      </c>
      <c r="B1234" s="2831" t="s">
        <v>3408</v>
      </c>
      <c r="C1234" s="2831">
        <v>194</v>
      </c>
      <c r="D1234" s="2831" t="s">
        <v>3437</v>
      </c>
      <c r="E1234" s="2831" t="s">
        <v>2174</v>
      </c>
    </row>
    <row r="1235" spans="1:5">
      <c r="A1235" s="2831">
        <v>667</v>
      </c>
      <c r="B1235" s="2831" t="s">
        <v>3408</v>
      </c>
      <c r="C1235" s="2831">
        <v>197</v>
      </c>
      <c r="D1235" s="2831" t="s">
        <v>2538</v>
      </c>
      <c r="E1235" s="2831" t="s">
        <v>2166</v>
      </c>
    </row>
    <row r="1236" spans="1:5">
      <c r="A1236" s="2831">
        <v>667</v>
      </c>
      <c r="B1236" s="2831" t="s">
        <v>3408</v>
      </c>
      <c r="C1236" s="2831">
        <v>198</v>
      </c>
      <c r="D1236" s="2831" t="s">
        <v>3438</v>
      </c>
      <c r="E1236" s="2831" t="s">
        <v>2169</v>
      </c>
    </row>
    <row r="1237" spans="1:5">
      <c r="A1237" s="2831">
        <v>667</v>
      </c>
      <c r="B1237" s="2831" t="s">
        <v>3408</v>
      </c>
      <c r="C1237" s="2831">
        <v>191</v>
      </c>
      <c r="D1237" s="2831" t="s">
        <v>3439</v>
      </c>
      <c r="E1237" s="2831" t="s">
        <v>2166</v>
      </c>
    </row>
    <row r="1238" spans="1:5">
      <c r="A1238" s="2831">
        <v>667</v>
      </c>
      <c r="B1238" s="2831" t="s">
        <v>3408</v>
      </c>
      <c r="C1238" s="2831">
        <v>4052</v>
      </c>
      <c r="D1238" s="2831" t="s">
        <v>3440</v>
      </c>
      <c r="E1238" s="2831" t="s">
        <v>2169</v>
      </c>
    </row>
    <row r="1239" spans="1:5">
      <c r="A1239" s="2831">
        <v>667</v>
      </c>
      <c r="B1239" s="2831" t="s">
        <v>3408</v>
      </c>
      <c r="C1239" s="2831">
        <v>380</v>
      </c>
      <c r="D1239" s="2831" t="s">
        <v>3441</v>
      </c>
      <c r="E1239" s="2831" t="s">
        <v>2174</v>
      </c>
    </row>
    <row r="1240" spans="1:5">
      <c r="A1240" s="2831">
        <v>667</v>
      </c>
      <c r="B1240" s="2831" t="s">
        <v>3408</v>
      </c>
      <c r="C1240" s="2831">
        <v>1814</v>
      </c>
      <c r="D1240" s="2831" t="s">
        <v>3442</v>
      </c>
      <c r="E1240" s="2831" t="s">
        <v>2169</v>
      </c>
    </row>
    <row r="1241" spans="1:5">
      <c r="A1241" s="2831">
        <v>667</v>
      </c>
      <c r="B1241" s="2831" t="s">
        <v>3408</v>
      </c>
      <c r="C1241" s="2831">
        <v>5550</v>
      </c>
      <c r="D1241" s="2831" t="s">
        <v>3443</v>
      </c>
      <c r="E1241" s="2831" t="s">
        <v>2169</v>
      </c>
    </row>
    <row r="1242" spans="1:5">
      <c r="A1242" s="2831">
        <v>667</v>
      </c>
      <c r="B1242" s="2831" t="s">
        <v>3408</v>
      </c>
      <c r="C1242" s="2831">
        <v>905</v>
      </c>
      <c r="D1242" s="2831" t="s">
        <v>3444</v>
      </c>
      <c r="E1242" s="2831" t="s">
        <v>2169</v>
      </c>
    </row>
    <row r="1243" spans="1:5">
      <c r="A1243" s="2831">
        <v>667</v>
      </c>
      <c r="B1243" s="2831" t="s">
        <v>3408</v>
      </c>
      <c r="C1243" s="2831">
        <v>1205</v>
      </c>
      <c r="D1243" s="2831" t="s">
        <v>3445</v>
      </c>
      <c r="E1243" s="2831" t="s">
        <v>2174</v>
      </c>
    </row>
    <row r="1244" spans="1:5">
      <c r="A1244" s="2831">
        <v>667</v>
      </c>
      <c r="B1244" s="2831" t="s">
        <v>3408</v>
      </c>
      <c r="C1244" s="2831">
        <v>1052</v>
      </c>
      <c r="D1244" s="2831" t="s">
        <v>3446</v>
      </c>
      <c r="E1244" s="2831" t="s">
        <v>2166</v>
      </c>
    </row>
    <row r="1245" spans="1:5">
      <c r="A1245" s="2831">
        <v>667</v>
      </c>
      <c r="B1245" s="2831" t="s">
        <v>3408</v>
      </c>
      <c r="C1245" s="2831">
        <v>1013</v>
      </c>
      <c r="D1245" s="2831" t="s">
        <v>3447</v>
      </c>
      <c r="E1245" s="2831" t="s">
        <v>2166</v>
      </c>
    </row>
    <row r="1246" spans="1:5">
      <c r="A1246" s="2831">
        <v>667</v>
      </c>
      <c r="B1246" s="2831" t="s">
        <v>3408</v>
      </c>
      <c r="C1246" s="2831">
        <v>279</v>
      </c>
      <c r="D1246" s="2831" t="s">
        <v>3448</v>
      </c>
      <c r="E1246" s="2831" t="s">
        <v>2166</v>
      </c>
    </row>
    <row r="1247" spans="1:5">
      <c r="A1247" s="2831">
        <v>667</v>
      </c>
      <c r="B1247" s="2831" t="s">
        <v>3408</v>
      </c>
      <c r="C1247" s="2831">
        <v>295</v>
      </c>
      <c r="D1247" s="2831" t="s">
        <v>3449</v>
      </c>
      <c r="E1247" s="2831" t="s">
        <v>2166</v>
      </c>
    </row>
    <row r="1248" spans="1:5">
      <c r="A1248" s="2831">
        <v>667</v>
      </c>
      <c r="B1248" s="2831" t="s">
        <v>3408</v>
      </c>
      <c r="C1248" s="2831">
        <v>200</v>
      </c>
      <c r="D1248" s="2831" t="s">
        <v>3450</v>
      </c>
      <c r="E1248" s="2831" t="s">
        <v>2174</v>
      </c>
    </row>
    <row r="1249" spans="1:5">
      <c r="A1249" s="2831">
        <v>667</v>
      </c>
      <c r="B1249" s="2831" t="s">
        <v>3408</v>
      </c>
      <c r="C1249" s="2831">
        <v>1012</v>
      </c>
      <c r="D1249" s="2831" t="s">
        <v>3451</v>
      </c>
      <c r="E1249" s="2831" t="s">
        <v>2174</v>
      </c>
    </row>
    <row r="1250" spans="1:5">
      <c r="A1250" s="2831">
        <v>667</v>
      </c>
      <c r="B1250" s="2831" t="s">
        <v>3408</v>
      </c>
      <c r="C1250" s="2831">
        <v>1812</v>
      </c>
      <c r="D1250" s="2831" t="s">
        <v>3452</v>
      </c>
      <c r="E1250" s="2831" t="s">
        <v>2166</v>
      </c>
    </row>
    <row r="1251" spans="1:5">
      <c r="A1251" s="2831">
        <v>667</v>
      </c>
      <c r="B1251" s="2831" t="s">
        <v>3408</v>
      </c>
      <c r="C1251" s="2831">
        <v>2052</v>
      </c>
      <c r="D1251" s="2831" t="s">
        <v>3453</v>
      </c>
      <c r="E1251" s="2831" t="s">
        <v>2169</v>
      </c>
    </row>
    <row r="1252" spans="1:5">
      <c r="A1252" s="2831">
        <v>667</v>
      </c>
      <c r="B1252" s="2831" t="s">
        <v>3408</v>
      </c>
      <c r="C1252" s="2831">
        <v>101</v>
      </c>
      <c r="D1252" s="2831" t="s">
        <v>3454</v>
      </c>
      <c r="E1252" s="2831" t="s">
        <v>2174</v>
      </c>
    </row>
    <row r="1253" spans="1:5">
      <c r="A1253" s="2831">
        <v>667</v>
      </c>
      <c r="B1253" s="2831" t="s">
        <v>3408</v>
      </c>
      <c r="C1253" s="2831">
        <v>376</v>
      </c>
      <c r="D1253" s="2831" t="s">
        <v>3455</v>
      </c>
      <c r="E1253" s="2831" t="s">
        <v>2166</v>
      </c>
    </row>
    <row r="1254" spans="1:5">
      <c r="A1254" s="2831">
        <v>667</v>
      </c>
      <c r="B1254" s="2831" t="s">
        <v>3408</v>
      </c>
      <c r="C1254" s="2831">
        <v>388</v>
      </c>
      <c r="D1254" s="2831" t="s">
        <v>3456</v>
      </c>
      <c r="E1254" s="2831" t="s">
        <v>2166</v>
      </c>
    </row>
    <row r="1255" spans="1:5">
      <c r="A1255" s="2831">
        <v>667</v>
      </c>
      <c r="B1255" s="2831" t="s">
        <v>3408</v>
      </c>
      <c r="C1255" s="2831">
        <v>1114</v>
      </c>
      <c r="D1255" s="2831" t="s">
        <v>3457</v>
      </c>
      <c r="E1255" s="2831" t="s">
        <v>2166</v>
      </c>
    </row>
    <row r="1256" spans="1:5">
      <c r="A1256" s="2831">
        <v>667</v>
      </c>
      <c r="B1256" s="2831" t="s">
        <v>3408</v>
      </c>
      <c r="C1256" s="2831">
        <v>1214</v>
      </c>
      <c r="D1256" s="2831" t="s">
        <v>3458</v>
      </c>
      <c r="E1256" s="2831" t="s">
        <v>2174</v>
      </c>
    </row>
    <row r="1257" spans="1:5">
      <c r="A1257" s="2831">
        <v>667</v>
      </c>
      <c r="B1257" s="2831" t="s">
        <v>3408</v>
      </c>
      <c r="C1257" s="2831">
        <v>1019</v>
      </c>
      <c r="D1257" s="2831" t="s">
        <v>3459</v>
      </c>
      <c r="E1257" s="2831" t="s">
        <v>2166</v>
      </c>
    </row>
    <row r="1258" spans="1:5">
      <c r="A1258" s="2831">
        <v>667</v>
      </c>
      <c r="B1258" s="2831" t="s">
        <v>3408</v>
      </c>
      <c r="C1258" s="2831">
        <v>196</v>
      </c>
      <c r="D1258" s="2831" t="s">
        <v>3460</v>
      </c>
      <c r="E1258" s="2831" t="s">
        <v>2166</v>
      </c>
    </row>
    <row r="1259" spans="1:5">
      <c r="A1259" s="2831">
        <v>667</v>
      </c>
      <c r="B1259" s="2831" t="s">
        <v>3408</v>
      </c>
      <c r="C1259" s="2831">
        <v>2054</v>
      </c>
      <c r="D1259" s="2831" t="s">
        <v>3461</v>
      </c>
      <c r="E1259" s="2831" t="s">
        <v>2174</v>
      </c>
    </row>
    <row r="1260" spans="1:5">
      <c r="A1260" s="2831">
        <v>667</v>
      </c>
      <c r="B1260" s="2831" t="s">
        <v>3408</v>
      </c>
      <c r="C1260" s="2831">
        <v>3054</v>
      </c>
      <c r="D1260" s="2831" t="s">
        <v>3462</v>
      </c>
      <c r="E1260" s="2831" t="s">
        <v>2166</v>
      </c>
    </row>
    <row r="1261" spans="1:5">
      <c r="A1261" s="2831">
        <v>667</v>
      </c>
      <c r="B1261" s="2831" t="s">
        <v>3408</v>
      </c>
      <c r="C1261" s="2831">
        <v>180</v>
      </c>
      <c r="D1261" s="2831" t="s">
        <v>3463</v>
      </c>
      <c r="E1261" s="2831" t="s">
        <v>2174</v>
      </c>
    </row>
    <row r="1262" spans="1:5">
      <c r="A1262" s="2831">
        <v>667</v>
      </c>
      <c r="B1262" s="2831" t="s">
        <v>3408</v>
      </c>
      <c r="C1262" s="2831">
        <v>285</v>
      </c>
      <c r="D1262" s="2831" t="s">
        <v>3464</v>
      </c>
      <c r="E1262" s="2831" t="s">
        <v>2166</v>
      </c>
    </row>
    <row r="1263" spans="1:5">
      <c r="A1263" s="2831">
        <v>667</v>
      </c>
      <c r="B1263" s="2831" t="s">
        <v>3408</v>
      </c>
      <c r="C1263" s="2831">
        <v>297</v>
      </c>
      <c r="D1263" s="2831" t="s">
        <v>3465</v>
      </c>
      <c r="E1263" s="2831" t="s">
        <v>2166</v>
      </c>
    </row>
    <row r="1264" spans="1:5">
      <c r="A1264" s="2831">
        <v>667</v>
      </c>
      <c r="B1264" s="2831" t="s">
        <v>3408</v>
      </c>
      <c r="C1264" s="2831">
        <v>1817</v>
      </c>
      <c r="D1264" s="2831" t="s">
        <v>3466</v>
      </c>
      <c r="E1264" s="2831" t="s">
        <v>2166</v>
      </c>
    </row>
    <row r="1265" spans="1:5">
      <c r="A1265" s="2831">
        <v>667</v>
      </c>
      <c r="B1265" s="2831" t="s">
        <v>3408</v>
      </c>
      <c r="C1265" s="2831">
        <v>305</v>
      </c>
      <c r="D1265" s="2831" t="s">
        <v>3467</v>
      </c>
      <c r="E1265" s="2831" t="s">
        <v>2174</v>
      </c>
    </row>
    <row r="1266" spans="1:5">
      <c r="A1266" s="2831">
        <v>667</v>
      </c>
      <c r="B1266" s="2831" t="s">
        <v>3408</v>
      </c>
      <c r="C1266" s="2831">
        <v>395</v>
      </c>
      <c r="D1266" s="2831" t="s">
        <v>2216</v>
      </c>
      <c r="E1266" s="2831" t="s">
        <v>2174</v>
      </c>
    </row>
    <row r="1267" spans="1:5">
      <c r="A1267" s="2831">
        <v>667</v>
      </c>
      <c r="B1267" s="2831" t="s">
        <v>3408</v>
      </c>
      <c r="C1267" s="2831">
        <v>1015</v>
      </c>
      <c r="D1267" s="2831" t="s">
        <v>3468</v>
      </c>
      <c r="E1267" s="2831" t="s">
        <v>2166</v>
      </c>
    </row>
    <row r="1268" spans="1:5">
      <c r="A1268" s="2831">
        <v>667</v>
      </c>
      <c r="B1268" s="2831" t="s">
        <v>3408</v>
      </c>
      <c r="C1268" s="2831">
        <v>405</v>
      </c>
      <c r="D1268" s="2831" t="s">
        <v>3469</v>
      </c>
      <c r="E1268" s="2831" t="s">
        <v>2166</v>
      </c>
    </row>
    <row r="1269" spans="1:5">
      <c r="A1269" s="2831">
        <v>667</v>
      </c>
      <c r="B1269" s="2831" t="s">
        <v>3408</v>
      </c>
      <c r="C1269" s="2831">
        <v>1813</v>
      </c>
      <c r="D1269" s="2831" t="s">
        <v>3470</v>
      </c>
      <c r="E1269" s="2831" t="s">
        <v>2174</v>
      </c>
    </row>
    <row r="1270" spans="1:5">
      <c r="A1270" s="2831">
        <v>667</v>
      </c>
      <c r="B1270" s="2831" t="s">
        <v>3408</v>
      </c>
      <c r="C1270" s="2831">
        <v>495</v>
      </c>
      <c r="D1270" s="2831" t="s">
        <v>3471</v>
      </c>
      <c r="E1270" s="2831" t="s">
        <v>2166</v>
      </c>
    </row>
    <row r="1271" spans="1:5">
      <c r="A1271" s="2831">
        <v>667</v>
      </c>
      <c r="B1271" s="2831" t="s">
        <v>3408</v>
      </c>
      <c r="C1271" s="2831">
        <v>275</v>
      </c>
      <c r="D1271" s="2831" t="s">
        <v>3472</v>
      </c>
      <c r="E1271" s="2831" t="s">
        <v>2169</v>
      </c>
    </row>
    <row r="1272" spans="1:5">
      <c r="A1272" s="2831">
        <v>667</v>
      </c>
      <c r="B1272" s="2831" t="s">
        <v>3408</v>
      </c>
      <c r="C1272" s="2831">
        <v>1018</v>
      </c>
      <c r="D1272" s="2831" t="s">
        <v>3473</v>
      </c>
      <c r="E1272" s="2831" t="s">
        <v>2166</v>
      </c>
    </row>
    <row r="1273" spans="1:5">
      <c r="A1273" s="2831">
        <v>667</v>
      </c>
      <c r="B1273" s="2831" t="s">
        <v>3408</v>
      </c>
      <c r="C1273" s="2831">
        <v>209</v>
      </c>
      <c r="D1273" s="2831" t="s">
        <v>3474</v>
      </c>
      <c r="E1273" s="2831" t="s">
        <v>2174</v>
      </c>
    </row>
    <row r="1274" spans="1:5">
      <c r="A1274" s="2831">
        <v>667</v>
      </c>
      <c r="B1274" s="2831" t="s">
        <v>3408</v>
      </c>
      <c r="C1274" s="2831">
        <v>5054</v>
      </c>
      <c r="D1274" s="2831" t="s">
        <v>3475</v>
      </c>
      <c r="E1274" s="2831" t="s">
        <v>2169</v>
      </c>
    </row>
    <row r="1275" spans="1:5">
      <c r="A1275" s="2831">
        <v>667</v>
      </c>
      <c r="B1275" s="2831" t="s">
        <v>3408</v>
      </c>
      <c r="C1275" s="2831">
        <v>1405</v>
      </c>
      <c r="D1275" s="2831" t="s">
        <v>3476</v>
      </c>
      <c r="E1275" s="2831" t="s">
        <v>2174</v>
      </c>
    </row>
    <row r="1276" spans="1:5">
      <c r="A1276" s="2831">
        <v>667</v>
      </c>
      <c r="B1276" s="2831" t="s">
        <v>3408</v>
      </c>
      <c r="C1276" s="2831">
        <v>5554</v>
      </c>
      <c r="D1276" s="2831" t="s">
        <v>3477</v>
      </c>
      <c r="E1276" s="2831" t="s">
        <v>2174</v>
      </c>
    </row>
    <row r="1277" spans="1:5">
      <c r="A1277" s="2831">
        <v>667</v>
      </c>
      <c r="B1277" s="2831" t="s">
        <v>3408</v>
      </c>
      <c r="C1277" s="2831">
        <v>1056</v>
      </c>
      <c r="D1277" s="2831" t="s">
        <v>3478</v>
      </c>
      <c r="E1277" s="2831" t="s">
        <v>2174</v>
      </c>
    </row>
    <row r="1278" spans="1:5">
      <c r="A1278" s="2831">
        <v>667</v>
      </c>
      <c r="B1278" s="2831" t="s">
        <v>3408</v>
      </c>
      <c r="C1278" s="2831">
        <v>210</v>
      </c>
      <c r="D1278" s="2831" t="s">
        <v>3479</v>
      </c>
      <c r="E1278" s="2831" t="s">
        <v>2166</v>
      </c>
    </row>
    <row r="1279" spans="1:5">
      <c r="A1279" s="2831">
        <v>667</v>
      </c>
      <c r="B1279" s="2831" t="s">
        <v>3408</v>
      </c>
      <c r="C1279" s="2831">
        <v>397</v>
      </c>
      <c r="D1279" s="2831" t="s">
        <v>3480</v>
      </c>
      <c r="E1279" s="2831" t="s">
        <v>2169</v>
      </c>
    </row>
    <row r="1280" spans="1:5">
      <c r="A1280" s="2831">
        <v>667</v>
      </c>
      <c r="B1280" s="2831" t="s">
        <v>3408</v>
      </c>
      <c r="C1280" s="2831">
        <v>298</v>
      </c>
      <c r="D1280" s="2831" t="s">
        <v>3481</v>
      </c>
      <c r="E1280" s="2831" t="s">
        <v>2169</v>
      </c>
    </row>
    <row r="1281" spans="1:5">
      <c r="A1281" s="2831">
        <v>667</v>
      </c>
      <c r="B1281" s="2831" t="s">
        <v>3408</v>
      </c>
      <c r="C1281" s="2831">
        <v>1819</v>
      </c>
      <c r="D1281" s="2831" t="s">
        <v>3482</v>
      </c>
      <c r="E1281" s="2831" t="s">
        <v>2174</v>
      </c>
    </row>
    <row r="1282" spans="1:5">
      <c r="A1282" s="2831">
        <v>667</v>
      </c>
      <c r="B1282" s="2831" t="s">
        <v>3408</v>
      </c>
      <c r="C1282" s="2831">
        <v>497</v>
      </c>
      <c r="D1282" s="2831" t="s">
        <v>3483</v>
      </c>
      <c r="E1282" s="2831" t="s">
        <v>2174</v>
      </c>
    </row>
    <row r="1283" spans="1:5">
      <c r="A1283" s="2831">
        <v>667</v>
      </c>
      <c r="B1283" s="2831" t="s">
        <v>3408</v>
      </c>
      <c r="C1283" s="2831">
        <v>289</v>
      </c>
      <c r="D1283" s="2831" t="s">
        <v>3484</v>
      </c>
      <c r="E1283" s="2831" t="s">
        <v>2174</v>
      </c>
    </row>
    <row r="1284" spans="1:5">
      <c r="A1284" s="2831">
        <v>667</v>
      </c>
      <c r="B1284" s="2831" t="s">
        <v>3408</v>
      </c>
      <c r="C1284" s="2831">
        <v>199</v>
      </c>
      <c r="D1284" s="2831" t="s">
        <v>3485</v>
      </c>
      <c r="E1284" s="2831" t="s">
        <v>2166</v>
      </c>
    </row>
    <row r="1285" spans="1:5">
      <c r="A1285" s="2831">
        <v>667</v>
      </c>
      <c r="B1285" s="2831" t="s">
        <v>3408</v>
      </c>
      <c r="C1285" s="2831">
        <v>187</v>
      </c>
      <c r="D1285" s="2831" t="s">
        <v>3486</v>
      </c>
      <c r="E1285" s="2831" t="s">
        <v>2169</v>
      </c>
    </row>
    <row r="1286" spans="1:5">
      <c r="A1286" s="2831">
        <v>667</v>
      </c>
      <c r="B1286" s="2831" t="s">
        <v>3408</v>
      </c>
      <c r="C1286" s="2831">
        <v>105</v>
      </c>
      <c r="D1286" s="2831" t="s">
        <v>3487</v>
      </c>
      <c r="E1286" s="2831" t="s">
        <v>2166</v>
      </c>
    </row>
    <row r="1287" spans="1:5">
      <c r="A1287" s="2831">
        <v>667</v>
      </c>
      <c r="B1287" s="2831" t="s">
        <v>3408</v>
      </c>
      <c r="C1287" s="2831">
        <v>288</v>
      </c>
      <c r="D1287" s="2831" t="s">
        <v>3488</v>
      </c>
      <c r="E1287" s="2831" t="s">
        <v>2169</v>
      </c>
    </row>
    <row r="1288" spans="1:5">
      <c r="A1288" s="2831">
        <v>667</v>
      </c>
      <c r="B1288" s="2831" t="s">
        <v>3408</v>
      </c>
      <c r="C1288" s="2831">
        <v>1112</v>
      </c>
      <c r="D1288" s="2831" t="s">
        <v>3489</v>
      </c>
      <c r="E1288" s="2831" t="s">
        <v>2169</v>
      </c>
    </row>
    <row r="1289" spans="1:5">
      <c r="A1289" s="2831">
        <v>667</v>
      </c>
      <c r="B1289" s="2831" t="s">
        <v>3408</v>
      </c>
      <c r="C1289" s="2831">
        <v>2056</v>
      </c>
      <c r="D1289" s="2831" t="s">
        <v>3293</v>
      </c>
      <c r="E1289" s="2831" t="s">
        <v>2166</v>
      </c>
    </row>
    <row r="1290" spans="1:5">
      <c r="A1290" s="2831">
        <v>667</v>
      </c>
      <c r="B1290" s="2831" t="s">
        <v>3408</v>
      </c>
      <c r="C1290" s="2831">
        <v>1410</v>
      </c>
      <c r="D1290" s="2831" t="s">
        <v>3490</v>
      </c>
      <c r="E1290" s="2831" t="s">
        <v>2166</v>
      </c>
    </row>
    <row r="1291" spans="1:5">
      <c r="A1291" s="2831">
        <v>667</v>
      </c>
      <c r="B1291" s="2831" t="s">
        <v>3408</v>
      </c>
      <c r="C1291" s="2831">
        <v>208</v>
      </c>
      <c r="D1291" s="2831" t="s">
        <v>3491</v>
      </c>
      <c r="E1291" s="2831" t="s">
        <v>2174</v>
      </c>
    </row>
    <row r="1292" spans="1:5">
      <c r="A1292" s="2831">
        <v>667</v>
      </c>
      <c r="B1292" s="2831" t="s">
        <v>3408</v>
      </c>
      <c r="C1292" s="2831">
        <v>294</v>
      </c>
      <c r="D1292" s="2831" t="s">
        <v>3492</v>
      </c>
      <c r="E1292" s="2831" t="s">
        <v>2169</v>
      </c>
    </row>
    <row r="1293" spans="1:5">
      <c r="A1293" s="2831">
        <v>667</v>
      </c>
      <c r="B1293" s="2831" t="s">
        <v>3408</v>
      </c>
      <c r="C1293" s="2831">
        <v>1020</v>
      </c>
      <c r="D1293" s="2831" t="s">
        <v>3493</v>
      </c>
      <c r="E1293" s="2831" t="s">
        <v>2169</v>
      </c>
    </row>
    <row r="1294" spans="1:5">
      <c r="A1294" s="2831">
        <v>667</v>
      </c>
      <c r="B1294" s="2831" t="s">
        <v>3408</v>
      </c>
      <c r="C1294" s="2831">
        <v>4056</v>
      </c>
      <c r="D1294" s="2831" t="s">
        <v>3494</v>
      </c>
      <c r="E1294" s="2831" t="s">
        <v>2169</v>
      </c>
    </row>
    <row r="1295" spans="1:5">
      <c r="A1295" s="2831">
        <v>667</v>
      </c>
      <c r="B1295" s="2831" t="s">
        <v>3408</v>
      </c>
      <c r="C1295" s="2831">
        <v>103</v>
      </c>
      <c r="D1295" s="2831" t="s">
        <v>3495</v>
      </c>
      <c r="E1295" s="2831" t="s">
        <v>2166</v>
      </c>
    </row>
    <row r="1296" spans="1:5">
      <c r="A1296" s="2831">
        <v>667</v>
      </c>
      <c r="B1296" s="2831" t="s">
        <v>3408</v>
      </c>
      <c r="C1296" s="2831">
        <v>4556</v>
      </c>
      <c r="D1296" s="2831" t="s">
        <v>3496</v>
      </c>
      <c r="E1296" s="2831" t="s">
        <v>2166</v>
      </c>
    </row>
    <row r="1297" spans="1:5">
      <c r="A1297" s="2831">
        <v>667</v>
      </c>
      <c r="B1297" s="2831" t="s">
        <v>3408</v>
      </c>
      <c r="C1297" s="2831">
        <v>1510</v>
      </c>
      <c r="D1297" s="2831" t="s">
        <v>3497</v>
      </c>
      <c r="E1297" s="2831" t="s">
        <v>2166</v>
      </c>
    </row>
    <row r="1298" spans="1:5">
      <c r="A1298" s="2831">
        <v>667</v>
      </c>
      <c r="B1298" s="2831" t="s">
        <v>3408</v>
      </c>
      <c r="C1298" s="2831">
        <v>1215</v>
      </c>
      <c r="D1298" s="2831" t="s">
        <v>3498</v>
      </c>
      <c r="E1298" s="2831" t="s">
        <v>2169</v>
      </c>
    </row>
    <row r="1299" spans="1:5">
      <c r="A1299" s="2831">
        <v>667</v>
      </c>
      <c r="B1299" s="2831" t="s">
        <v>3408</v>
      </c>
      <c r="C1299" s="2831">
        <v>1115</v>
      </c>
      <c r="D1299" s="2831" t="s">
        <v>3499</v>
      </c>
      <c r="E1299" s="2831" t="s">
        <v>2174</v>
      </c>
    </row>
    <row r="1300" spans="1:5">
      <c r="A1300" s="2831">
        <v>667</v>
      </c>
      <c r="B1300" s="2831" t="s">
        <v>3408</v>
      </c>
      <c r="C1300" s="2831">
        <v>287</v>
      </c>
      <c r="D1300" s="2831" t="s">
        <v>3500</v>
      </c>
      <c r="E1300" s="2831" t="s">
        <v>2174</v>
      </c>
    </row>
    <row r="1301" spans="1:5">
      <c r="A1301" s="2831">
        <v>667</v>
      </c>
      <c r="B1301" s="2831" t="s">
        <v>3408</v>
      </c>
      <c r="C1301" s="2831">
        <v>204</v>
      </c>
      <c r="D1301" s="2831" t="s">
        <v>3501</v>
      </c>
      <c r="E1301" s="2831" t="s">
        <v>2166</v>
      </c>
    </row>
    <row r="1302" spans="1:5">
      <c r="A1302" s="2831">
        <v>667</v>
      </c>
      <c r="B1302" s="2831" t="s">
        <v>3408</v>
      </c>
      <c r="C1302" s="2831">
        <v>176</v>
      </c>
      <c r="D1302" s="2831" t="s">
        <v>3502</v>
      </c>
      <c r="E1302" s="2831" t="s">
        <v>2166</v>
      </c>
    </row>
    <row r="1303" spans="1:5">
      <c r="A1303" s="2831">
        <v>667</v>
      </c>
      <c r="B1303" s="2831" t="s">
        <v>3408</v>
      </c>
      <c r="C1303" s="2831">
        <v>705</v>
      </c>
      <c r="D1303" s="2831" t="s">
        <v>3503</v>
      </c>
      <c r="E1303" s="2831" t="s">
        <v>2166</v>
      </c>
    </row>
    <row r="1304" spans="1:5">
      <c r="A1304" s="2831">
        <v>667</v>
      </c>
      <c r="B1304" s="2831" t="s">
        <v>3408</v>
      </c>
      <c r="C1304" s="2831">
        <v>398</v>
      </c>
      <c r="D1304" s="2831" t="s">
        <v>3504</v>
      </c>
      <c r="E1304" s="2831" t="s">
        <v>2166</v>
      </c>
    </row>
    <row r="1305" spans="1:5">
      <c r="A1305" s="2831">
        <v>667</v>
      </c>
      <c r="B1305" s="2831" t="s">
        <v>3408</v>
      </c>
      <c r="C1305" s="2831">
        <v>608</v>
      </c>
      <c r="D1305" s="2831" t="s">
        <v>3505</v>
      </c>
      <c r="E1305" s="2831" t="s">
        <v>2169</v>
      </c>
    </row>
    <row r="1306" spans="1:5">
      <c r="A1306" s="2831">
        <v>667</v>
      </c>
      <c r="B1306" s="2831" t="s">
        <v>3408</v>
      </c>
      <c r="C1306" s="2831">
        <v>1818</v>
      </c>
      <c r="D1306" s="2831" t="s">
        <v>3506</v>
      </c>
      <c r="E1306" s="2831" t="s">
        <v>2174</v>
      </c>
    </row>
    <row r="1307" spans="1:5">
      <c r="A1307" s="2831">
        <v>667</v>
      </c>
      <c r="B1307" s="2831" t="s">
        <v>3408</v>
      </c>
      <c r="C1307" s="2831">
        <v>5056</v>
      </c>
      <c r="D1307" s="2831" t="s">
        <v>3507</v>
      </c>
      <c r="E1307" s="2831" t="s">
        <v>2166</v>
      </c>
    </row>
    <row r="1308" spans="1:5">
      <c r="A1308" s="2831">
        <v>667</v>
      </c>
      <c r="B1308" s="2831" t="s">
        <v>3408</v>
      </c>
      <c r="C1308" s="2831">
        <v>805</v>
      </c>
      <c r="D1308" s="2831" t="s">
        <v>3508</v>
      </c>
      <c r="E1308" s="2831" t="s">
        <v>2169</v>
      </c>
    </row>
    <row r="1309" spans="1:5">
      <c r="A1309" s="2831">
        <v>667</v>
      </c>
      <c r="B1309" s="2831" t="s">
        <v>3408</v>
      </c>
      <c r="C1309" s="2831">
        <v>391</v>
      </c>
      <c r="D1309" s="2831" t="s">
        <v>3509</v>
      </c>
      <c r="E1309" s="2831" t="s">
        <v>2174</v>
      </c>
    </row>
    <row r="1310" spans="1:5">
      <c r="A1310" s="2831">
        <v>667</v>
      </c>
      <c r="B1310" s="2831" t="s">
        <v>3408</v>
      </c>
      <c r="C1310" s="2831">
        <v>189</v>
      </c>
      <c r="D1310" s="2831" t="s">
        <v>3510</v>
      </c>
      <c r="E1310" s="2831" t="s">
        <v>2166</v>
      </c>
    </row>
    <row r="1311" spans="1:5">
      <c r="A1311" s="2831">
        <v>667</v>
      </c>
      <c r="B1311" s="2831" t="s">
        <v>3408</v>
      </c>
      <c r="C1311" s="2831">
        <v>186</v>
      </c>
      <c r="D1311" s="2831" t="s">
        <v>3511</v>
      </c>
      <c r="E1311" s="2831" t="s">
        <v>2166</v>
      </c>
    </row>
    <row r="1312" spans="1:5">
      <c r="A1312" s="2831">
        <v>667</v>
      </c>
      <c r="B1312" s="2831" t="s">
        <v>3408</v>
      </c>
      <c r="C1312" s="2831">
        <v>409</v>
      </c>
      <c r="D1312" s="2831" t="s">
        <v>3512</v>
      </c>
      <c r="E1312" s="2831" t="s">
        <v>2174</v>
      </c>
    </row>
    <row r="1313" spans="1:5">
      <c r="A1313" s="2831">
        <v>667</v>
      </c>
      <c r="B1313" s="2831" t="s">
        <v>3408</v>
      </c>
      <c r="C1313" s="2831">
        <v>1505</v>
      </c>
      <c r="D1313" s="2831" t="s">
        <v>3513</v>
      </c>
      <c r="E1313" s="2831" t="s">
        <v>2169</v>
      </c>
    </row>
    <row r="1314" spans="1:5">
      <c r="A1314" s="2831">
        <v>667</v>
      </c>
      <c r="B1314" s="2831" t="s">
        <v>3408</v>
      </c>
      <c r="C1314" s="2831">
        <v>188</v>
      </c>
      <c r="D1314" s="2831" t="s">
        <v>3514</v>
      </c>
      <c r="E1314" s="2831" t="s">
        <v>2174</v>
      </c>
    </row>
    <row r="1315" spans="1:5">
      <c r="A1315" s="2831">
        <v>667</v>
      </c>
      <c r="B1315" s="2831" t="s">
        <v>3408</v>
      </c>
      <c r="C1315" s="2831">
        <v>400</v>
      </c>
      <c r="D1315" s="2831" t="s">
        <v>2764</v>
      </c>
      <c r="E1315" s="2831" t="s">
        <v>2166</v>
      </c>
    </row>
    <row r="1316" spans="1:5">
      <c r="A1316" s="2831">
        <v>667</v>
      </c>
      <c r="B1316" s="2831" t="s">
        <v>3408</v>
      </c>
      <c r="C1316" s="2831">
        <v>1014</v>
      </c>
      <c r="D1316" s="2831" t="s">
        <v>3515</v>
      </c>
      <c r="E1316" s="2831" t="s">
        <v>2174</v>
      </c>
    </row>
    <row r="1317" spans="1:5">
      <c r="A1317" s="2831">
        <v>667</v>
      </c>
      <c r="B1317" s="2831" t="s">
        <v>3408</v>
      </c>
      <c r="C1317" s="2831">
        <v>100</v>
      </c>
      <c r="D1317" s="2831" t="s">
        <v>3516</v>
      </c>
      <c r="E1317" s="2831" t="s">
        <v>2166</v>
      </c>
    </row>
    <row r="1318" spans="1:5">
      <c r="A1318" s="2831">
        <v>667</v>
      </c>
      <c r="B1318" s="2831" t="s">
        <v>3408</v>
      </c>
      <c r="C1318" s="2831">
        <v>1058</v>
      </c>
      <c r="D1318" s="2831" t="s">
        <v>3004</v>
      </c>
      <c r="E1318" s="2831" t="s">
        <v>2169</v>
      </c>
    </row>
    <row r="1319" spans="1:5">
      <c r="A1319" s="2831">
        <v>667</v>
      </c>
      <c r="B1319" s="2831" t="s">
        <v>3408</v>
      </c>
      <c r="C1319" s="2831">
        <v>309</v>
      </c>
      <c r="D1319" s="2831" t="s">
        <v>3517</v>
      </c>
      <c r="E1319" s="2831" t="s">
        <v>2174</v>
      </c>
    </row>
    <row r="1320" spans="1:5">
      <c r="A1320" s="2831">
        <v>667</v>
      </c>
      <c r="B1320" s="2831" t="s">
        <v>3408</v>
      </c>
      <c r="C1320" s="2831">
        <v>1820</v>
      </c>
      <c r="D1320" s="2831" t="s">
        <v>3518</v>
      </c>
      <c r="E1320" s="2831" t="s">
        <v>2174</v>
      </c>
    </row>
    <row r="1321" spans="1:5">
      <c r="A1321" s="2831">
        <v>667</v>
      </c>
      <c r="B1321" s="2831" t="s">
        <v>3408</v>
      </c>
      <c r="C1321" s="2831">
        <v>291</v>
      </c>
      <c r="D1321" s="2831" t="s">
        <v>3519</v>
      </c>
      <c r="E1321" s="2831" t="s">
        <v>2166</v>
      </c>
    </row>
    <row r="1322" spans="1:5">
      <c r="A1322" s="2831">
        <v>667</v>
      </c>
      <c r="B1322" s="2831" t="s">
        <v>3408</v>
      </c>
      <c r="C1322" s="2831">
        <v>185</v>
      </c>
      <c r="D1322" s="2831" t="s">
        <v>3520</v>
      </c>
      <c r="E1322" s="2831" t="s">
        <v>2174</v>
      </c>
    </row>
    <row r="1323" spans="1:5">
      <c r="A1323" s="2831">
        <v>667</v>
      </c>
      <c r="B1323" s="2831" t="s">
        <v>3408</v>
      </c>
      <c r="C1323" s="2831">
        <v>283</v>
      </c>
      <c r="D1323" s="2831" t="s">
        <v>3521</v>
      </c>
      <c r="E1323" s="2831" t="s">
        <v>2174</v>
      </c>
    </row>
    <row r="1324" spans="1:5">
      <c r="A1324" s="2831">
        <v>667</v>
      </c>
      <c r="B1324" s="2831" t="s">
        <v>3408</v>
      </c>
      <c r="C1324" s="2831">
        <v>394</v>
      </c>
      <c r="D1324" s="2831" t="s">
        <v>3522</v>
      </c>
      <c r="E1324" s="2831" t="s">
        <v>2169</v>
      </c>
    </row>
    <row r="1325" spans="1:5">
      <c r="A1325" s="2831">
        <v>667</v>
      </c>
      <c r="B1325" s="2831" t="s">
        <v>3408</v>
      </c>
      <c r="C1325" s="2831">
        <v>494</v>
      </c>
      <c r="D1325" s="2831" t="s">
        <v>3523</v>
      </c>
      <c r="E1325" s="2831" t="s">
        <v>2166</v>
      </c>
    </row>
    <row r="1326" spans="1:5">
      <c r="A1326" s="2831">
        <v>667</v>
      </c>
      <c r="B1326" s="2831" t="s">
        <v>3408</v>
      </c>
      <c r="C1326" s="2831">
        <v>2058</v>
      </c>
      <c r="D1326" s="2831" t="s">
        <v>3524</v>
      </c>
      <c r="E1326" s="2831" t="s">
        <v>2174</v>
      </c>
    </row>
    <row r="1327" spans="1:5">
      <c r="A1327" s="2831">
        <v>667</v>
      </c>
      <c r="B1327" s="2831" t="s">
        <v>3408</v>
      </c>
      <c r="C1327" s="2831">
        <v>2558</v>
      </c>
      <c r="D1327" s="2831" t="s">
        <v>3525</v>
      </c>
      <c r="E1327" s="2831" t="s">
        <v>2166</v>
      </c>
    </row>
    <row r="1328" spans="1:5">
      <c r="A1328" s="2831">
        <v>667</v>
      </c>
      <c r="B1328" s="2831" t="s">
        <v>3408</v>
      </c>
      <c r="C1328" s="2831">
        <v>1110</v>
      </c>
      <c r="D1328" s="2831" t="s">
        <v>3526</v>
      </c>
      <c r="E1328" s="2831" t="s">
        <v>2174</v>
      </c>
    </row>
    <row r="1329" spans="1:5">
      <c r="A1329" s="2831">
        <v>667</v>
      </c>
      <c r="B1329" s="2831" t="s">
        <v>3408</v>
      </c>
      <c r="C1329" s="2831">
        <v>300</v>
      </c>
      <c r="D1329" s="2831" t="s">
        <v>3527</v>
      </c>
      <c r="E1329" s="2831" t="s">
        <v>2169</v>
      </c>
    </row>
    <row r="1330" spans="1:5">
      <c r="A1330" s="2831">
        <v>667</v>
      </c>
      <c r="B1330" s="2831" t="s">
        <v>3408</v>
      </c>
      <c r="C1330" s="2831">
        <v>296</v>
      </c>
      <c r="D1330" s="2831" t="s">
        <v>3528</v>
      </c>
      <c r="E1330" s="2831" t="s">
        <v>2174</v>
      </c>
    </row>
    <row r="1331" spans="1:5">
      <c r="A1331" s="2831">
        <v>667</v>
      </c>
      <c r="B1331" s="2831" t="s">
        <v>3408</v>
      </c>
      <c r="C1331" s="2831">
        <v>4058</v>
      </c>
      <c r="D1331" s="2831" t="s">
        <v>3529</v>
      </c>
      <c r="E1331" s="2831" t="s">
        <v>2166</v>
      </c>
    </row>
    <row r="1332" spans="1:5">
      <c r="A1332" s="2831">
        <v>667</v>
      </c>
      <c r="B1332" s="2831" t="s">
        <v>3408</v>
      </c>
      <c r="C1332" s="2831">
        <v>5058</v>
      </c>
      <c r="D1332" s="2831" t="s">
        <v>3530</v>
      </c>
      <c r="E1332" s="2831" t="s">
        <v>2174</v>
      </c>
    </row>
    <row r="1333" spans="1:5">
      <c r="A1333" s="2831">
        <v>667</v>
      </c>
      <c r="B1333" s="2831" t="s">
        <v>3408</v>
      </c>
      <c r="C1333" s="2831">
        <v>276</v>
      </c>
      <c r="D1333" s="2831" t="s">
        <v>3531</v>
      </c>
      <c r="E1333" s="2831" t="s">
        <v>2166</v>
      </c>
    </row>
    <row r="1334" spans="1:5">
      <c r="A1334" s="2831">
        <v>667</v>
      </c>
      <c r="B1334" s="2831" t="s">
        <v>3408</v>
      </c>
      <c r="C1334" s="2831">
        <v>505</v>
      </c>
      <c r="D1334" s="2831" t="s">
        <v>3532</v>
      </c>
      <c r="E1334" s="2831" t="s">
        <v>2174</v>
      </c>
    </row>
    <row r="1335" spans="1:5">
      <c r="A1335" s="2831">
        <v>667</v>
      </c>
      <c r="B1335" s="2831" t="s">
        <v>3408</v>
      </c>
      <c r="C1335" s="2831">
        <v>498</v>
      </c>
      <c r="D1335" s="2831" t="s">
        <v>3533</v>
      </c>
      <c r="E1335" s="2831" t="s">
        <v>2166</v>
      </c>
    </row>
    <row r="1336" spans="1:5">
      <c r="A1336" s="2831">
        <v>667</v>
      </c>
      <c r="B1336" s="2831" t="s">
        <v>3408</v>
      </c>
      <c r="C1336" s="2831">
        <v>108</v>
      </c>
      <c r="D1336" s="2831" t="s">
        <v>3534</v>
      </c>
      <c r="E1336" s="2831" t="s">
        <v>2166</v>
      </c>
    </row>
    <row r="1337" spans="1:5">
      <c r="A1337" s="2831">
        <v>667</v>
      </c>
      <c r="B1337" s="2831" t="s">
        <v>3408</v>
      </c>
      <c r="C1337" s="2831">
        <v>509</v>
      </c>
      <c r="D1337" s="2831" t="s">
        <v>3535</v>
      </c>
      <c r="E1337" s="2831" t="s">
        <v>2174</v>
      </c>
    </row>
    <row r="1338" spans="1:5">
      <c r="A1338" s="2831">
        <v>667</v>
      </c>
      <c r="B1338" s="2831" t="s">
        <v>3408</v>
      </c>
      <c r="C1338" s="2831">
        <v>1610</v>
      </c>
      <c r="D1338" s="2831" t="s">
        <v>3536</v>
      </c>
      <c r="E1338" s="2831" t="s">
        <v>2174</v>
      </c>
    </row>
    <row r="1339" spans="1:5">
      <c r="A1339" s="2831">
        <v>667</v>
      </c>
      <c r="B1339" s="2831" t="s">
        <v>3408</v>
      </c>
      <c r="C1339" s="2831">
        <v>193</v>
      </c>
      <c r="D1339" s="2831" t="s">
        <v>3537</v>
      </c>
      <c r="E1339" s="2831" t="s">
        <v>2174</v>
      </c>
    </row>
    <row r="1340" spans="1:5">
      <c r="A1340" s="2831">
        <v>667</v>
      </c>
      <c r="B1340" s="2831" t="s">
        <v>3408</v>
      </c>
      <c r="C1340" s="2831">
        <v>1310</v>
      </c>
      <c r="D1340" s="2831" t="s">
        <v>2877</v>
      </c>
      <c r="E1340" s="2831" t="s">
        <v>2174</v>
      </c>
    </row>
    <row r="1341" spans="1:5">
      <c r="A1341" s="2831">
        <v>667</v>
      </c>
      <c r="B1341" s="2831" t="s">
        <v>3408</v>
      </c>
      <c r="C1341" s="2831">
        <v>1305</v>
      </c>
      <c r="D1341" s="2831" t="s">
        <v>3538</v>
      </c>
      <c r="E1341" s="2831" t="s">
        <v>2166</v>
      </c>
    </row>
    <row r="1342" spans="1:5">
      <c r="A1342" s="2831">
        <v>667</v>
      </c>
      <c r="B1342" s="2831" t="s">
        <v>3408</v>
      </c>
      <c r="C1342" s="2831">
        <v>1810</v>
      </c>
      <c r="D1342" s="2831" t="s">
        <v>3539</v>
      </c>
      <c r="E1342" s="2831" t="s">
        <v>2174</v>
      </c>
    </row>
    <row r="1343" spans="1:5">
      <c r="A1343" s="2831">
        <v>668</v>
      </c>
      <c r="B1343" s="2831" t="s">
        <v>3540</v>
      </c>
      <c r="C1343" s="2831">
        <v>1050</v>
      </c>
      <c r="D1343" s="2831" t="s">
        <v>3541</v>
      </c>
      <c r="E1343" s="2831" t="s">
        <v>2174</v>
      </c>
    </row>
    <row r="1344" spans="1:5">
      <c r="A1344" s="2831">
        <v>668</v>
      </c>
      <c r="B1344" s="2831" t="s">
        <v>3540</v>
      </c>
      <c r="C1344" s="2831">
        <v>189</v>
      </c>
      <c r="D1344" s="2831" t="s">
        <v>3542</v>
      </c>
      <c r="E1344" s="2831" t="s">
        <v>2169</v>
      </c>
    </row>
    <row r="1345" spans="1:5">
      <c r="A1345" s="2831">
        <v>668</v>
      </c>
      <c r="B1345" s="2831" t="s">
        <v>3540</v>
      </c>
      <c r="C1345" s="2831">
        <v>101</v>
      </c>
      <c r="D1345" s="2831" t="s">
        <v>3543</v>
      </c>
      <c r="E1345" s="2831" t="s">
        <v>2169</v>
      </c>
    </row>
    <row r="1346" spans="1:5">
      <c r="A1346" s="2831">
        <v>668</v>
      </c>
      <c r="B1346" s="2831" t="s">
        <v>3540</v>
      </c>
      <c r="C1346" s="2831">
        <v>201</v>
      </c>
      <c r="D1346" s="2831" t="s">
        <v>3544</v>
      </c>
      <c r="E1346" s="2831" t="s">
        <v>2174</v>
      </c>
    </row>
    <row r="1347" spans="1:5">
      <c r="A1347" s="2831">
        <v>668</v>
      </c>
      <c r="B1347" s="2831" t="s">
        <v>3540</v>
      </c>
      <c r="C1347" s="2831">
        <v>5050</v>
      </c>
      <c r="D1347" s="2831" t="s">
        <v>3545</v>
      </c>
      <c r="E1347" s="2831" t="s">
        <v>2174</v>
      </c>
    </row>
    <row r="1348" spans="1:5">
      <c r="A1348" s="2831">
        <v>668</v>
      </c>
      <c r="B1348" s="2831" t="s">
        <v>3540</v>
      </c>
      <c r="C1348" s="2831">
        <v>2052</v>
      </c>
      <c r="D1348" s="2831" t="s">
        <v>3546</v>
      </c>
      <c r="E1348" s="2831" t="s">
        <v>2169</v>
      </c>
    </row>
    <row r="1349" spans="1:5">
      <c r="A1349" s="2831">
        <v>668</v>
      </c>
      <c r="B1349" s="2831" t="s">
        <v>3540</v>
      </c>
      <c r="C1349" s="2831">
        <v>106</v>
      </c>
      <c r="D1349" s="2831" t="s">
        <v>3547</v>
      </c>
      <c r="E1349" s="2831" t="s">
        <v>2174</v>
      </c>
    </row>
    <row r="1350" spans="1:5">
      <c r="A1350" s="2831">
        <v>668</v>
      </c>
      <c r="B1350" s="2831" t="s">
        <v>3540</v>
      </c>
      <c r="C1350" s="2831">
        <v>5052</v>
      </c>
      <c r="D1350" s="2831" t="s">
        <v>3548</v>
      </c>
      <c r="E1350" s="2831" t="s">
        <v>2166</v>
      </c>
    </row>
    <row r="1351" spans="1:5">
      <c r="A1351" s="2831">
        <v>668</v>
      </c>
      <c r="B1351" s="2831" t="s">
        <v>3540</v>
      </c>
      <c r="C1351" s="2831">
        <v>112</v>
      </c>
      <c r="D1351" s="2831" t="s">
        <v>3549</v>
      </c>
      <c r="E1351" s="2831" t="s">
        <v>2174</v>
      </c>
    </row>
    <row r="1352" spans="1:5">
      <c r="A1352" s="2831">
        <v>668</v>
      </c>
      <c r="B1352" s="2831" t="s">
        <v>3540</v>
      </c>
      <c r="C1352" s="2831">
        <v>105</v>
      </c>
      <c r="D1352" s="2831" t="s">
        <v>3550</v>
      </c>
      <c r="E1352" s="2831" t="s">
        <v>2166</v>
      </c>
    </row>
    <row r="1353" spans="1:5">
      <c r="A1353" s="2831">
        <v>668</v>
      </c>
      <c r="B1353" s="2831" t="s">
        <v>3540</v>
      </c>
      <c r="C1353" s="2831">
        <v>196</v>
      </c>
      <c r="D1353" s="2831" t="s">
        <v>3551</v>
      </c>
      <c r="E1353" s="2831" t="s">
        <v>2166</v>
      </c>
    </row>
    <row r="1354" spans="1:5">
      <c r="A1354" s="2831">
        <v>668</v>
      </c>
      <c r="B1354" s="2831" t="s">
        <v>3540</v>
      </c>
      <c r="C1354" s="2831">
        <v>296</v>
      </c>
      <c r="D1354" s="2831" t="s">
        <v>3552</v>
      </c>
      <c r="E1354" s="2831" t="s">
        <v>2174</v>
      </c>
    </row>
    <row r="1355" spans="1:5">
      <c r="A1355" s="2831">
        <v>668</v>
      </c>
      <c r="B1355" s="2831" t="s">
        <v>3540</v>
      </c>
      <c r="C1355" s="2831">
        <v>3054</v>
      </c>
      <c r="D1355" s="2831" t="s">
        <v>3553</v>
      </c>
      <c r="E1355" s="2831" t="s">
        <v>2174</v>
      </c>
    </row>
    <row r="1356" spans="1:5">
      <c r="A1356" s="2831">
        <v>669</v>
      </c>
      <c r="B1356" s="2831" t="s">
        <v>3554</v>
      </c>
      <c r="C1356" s="2831">
        <v>100</v>
      </c>
      <c r="D1356" s="2831" t="s">
        <v>3555</v>
      </c>
      <c r="E1356" s="2831" t="s">
        <v>2169</v>
      </c>
    </row>
    <row r="1357" spans="1:5">
      <c r="A1357" s="2831">
        <v>669</v>
      </c>
      <c r="B1357" s="2831" t="s">
        <v>3554</v>
      </c>
      <c r="C1357" s="2831">
        <v>391</v>
      </c>
      <c r="D1357" s="2831" t="s">
        <v>3556</v>
      </c>
      <c r="E1357" s="2831" t="s">
        <v>2166</v>
      </c>
    </row>
    <row r="1358" spans="1:5">
      <c r="A1358" s="2831">
        <v>669</v>
      </c>
      <c r="B1358" s="2831" t="s">
        <v>3554</v>
      </c>
      <c r="C1358" s="2831">
        <v>390</v>
      </c>
      <c r="D1358" s="2831" t="s">
        <v>3557</v>
      </c>
      <c r="E1358" s="2831" t="s">
        <v>2166</v>
      </c>
    </row>
    <row r="1359" spans="1:5">
      <c r="A1359" s="2831">
        <v>669</v>
      </c>
      <c r="B1359" s="2831" t="s">
        <v>3554</v>
      </c>
      <c r="C1359" s="2831">
        <v>102</v>
      </c>
      <c r="D1359" s="2831" t="s">
        <v>3558</v>
      </c>
      <c r="E1359" s="2831" t="s">
        <v>2169</v>
      </c>
    </row>
    <row r="1360" spans="1:5">
      <c r="A1360" s="2831">
        <v>669</v>
      </c>
      <c r="B1360" s="2831" t="s">
        <v>3554</v>
      </c>
      <c r="C1360" s="2831">
        <v>200</v>
      </c>
      <c r="D1360" s="2831" t="s">
        <v>3559</v>
      </c>
      <c r="E1360" s="2831" t="s">
        <v>2166</v>
      </c>
    </row>
    <row r="1361" spans="1:5">
      <c r="A1361" s="2831">
        <v>669</v>
      </c>
      <c r="B1361" s="2831" t="s">
        <v>3554</v>
      </c>
      <c r="C1361" s="2831">
        <v>4050</v>
      </c>
      <c r="D1361" s="2831" t="s">
        <v>3560</v>
      </c>
      <c r="E1361" s="2831" t="s">
        <v>2166</v>
      </c>
    </row>
    <row r="1362" spans="1:5">
      <c r="A1362" s="2831">
        <v>669</v>
      </c>
      <c r="B1362" s="2831" t="s">
        <v>3554</v>
      </c>
      <c r="C1362" s="2831">
        <v>106</v>
      </c>
      <c r="D1362" s="2831" t="s">
        <v>3561</v>
      </c>
      <c r="E1362" s="2831" t="s">
        <v>2169</v>
      </c>
    </row>
    <row r="1363" spans="1:5">
      <c r="A1363" s="2831">
        <v>669</v>
      </c>
      <c r="B1363" s="2831" t="s">
        <v>3554</v>
      </c>
      <c r="C1363" s="2831">
        <v>1552</v>
      </c>
      <c r="D1363" s="2831" t="s">
        <v>3562</v>
      </c>
      <c r="E1363" s="2831" t="s">
        <v>2166</v>
      </c>
    </row>
    <row r="1364" spans="1:5">
      <c r="A1364" s="2831">
        <v>669</v>
      </c>
      <c r="B1364" s="2831" t="s">
        <v>3554</v>
      </c>
      <c r="C1364" s="2831">
        <v>289</v>
      </c>
      <c r="D1364" s="2831" t="s">
        <v>3563</v>
      </c>
      <c r="E1364" s="2831" t="s">
        <v>2166</v>
      </c>
    </row>
    <row r="1365" spans="1:5">
      <c r="A1365" s="2831">
        <v>669</v>
      </c>
      <c r="B1365" s="2831" t="s">
        <v>3554</v>
      </c>
      <c r="C1365" s="2831">
        <v>2052</v>
      </c>
      <c r="D1365" s="2831" t="s">
        <v>3564</v>
      </c>
      <c r="E1365" s="2831" t="s">
        <v>2169</v>
      </c>
    </row>
    <row r="1366" spans="1:5">
      <c r="A1366" s="2831">
        <v>669</v>
      </c>
      <c r="B1366" s="2831" t="s">
        <v>3554</v>
      </c>
      <c r="C1366" s="2831">
        <v>202</v>
      </c>
      <c r="D1366" s="2831" t="s">
        <v>3565</v>
      </c>
      <c r="E1366" s="2831" t="s">
        <v>2166</v>
      </c>
    </row>
    <row r="1367" spans="1:5">
      <c r="A1367" s="2831">
        <v>669</v>
      </c>
      <c r="B1367" s="2831" t="s">
        <v>3554</v>
      </c>
      <c r="C1367" s="2831">
        <v>196</v>
      </c>
      <c r="D1367" s="2831" t="s">
        <v>3566</v>
      </c>
      <c r="E1367" s="2831" t="s">
        <v>2169</v>
      </c>
    </row>
    <row r="1368" spans="1:5">
      <c r="A1368" s="2831">
        <v>669</v>
      </c>
      <c r="B1368" s="2831" t="s">
        <v>3554</v>
      </c>
      <c r="C1368" s="2831">
        <v>4752</v>
      </c>
      <c r="D1368" s="2831" t="s">
        <v>3567</v>
      </c>
      <c r="E1368" s="2831" t="s">
        <v>2174</v>
      </c>
    </row>
    <row r="1369" spans="1:5">
      <c r="A1369" s="2831">
        <v>669</v>
      </c>
      <c r="B1369" s="2831" t="s">
        <v>3554</v>
      </c>
      <c r="C1369" s="2831">
        <v>105</v>
      </c>
      <c r="D1369" s="2831" t="s">
        <v>3568</v>
      </c>
      <c r="E1369" s="2831" t="s">
        <v>2169</v>
      </c>
    </row>
    <row r="1370" spans="1:5">
      <c r="A1370" s="2831">
        <v>669</v>
      </c>
      <c r="B1370" s="2831" t="s">
        <v>3554</v>
      </c>
      <c r="C1370" s="2831">
        <v>3054</v>
      </c>
      <c r="D1370" s="2831" t="s">
        <v>3569</v>
      </c>
      <c r="E1370" s="2831" t="s">
        <v>2169</v>
      </c>
    </row>
    <row r="1371" spans="1:5">
      <c r="A1371" s="2831">
        <v>669</v>
      </c>
      <c r="B1371" s="2831" t="s">
        <v>3554</v>
      </c>
      <c r="C1371" s="2831">
        <v>4054</v>
      </c>
      <c r="D1371" s="2831" t="s">
        <v>3570</v>
      </c>
      <c r="E1371" s="2831" t="s">
        <v>2166</v>
      </c>
    </row>
    <row r="1372" spans="1:5">
      <c r="A1372" s="2831">
        <v>669</v>
      </c>
      <c r="B1372" s="2831" t="s">
        <v>3554</v>
      </c>
      <c r="C1372" s="2831">
        <v>5052</v>
      </c>
      <c r="D1372" s="2831" t="s">
        <v>3571</v>
      </c>
      <c r="E1372" s="2831" t="s">
        <v>2166</v>
      </c>
    </row>
    <row r="1373" spans="1:5">
      <c r="A1373" s="2831">
        <v>669</v>
      </c>
      <c r="B1373" s="2831" t="s">
        <v>3554</v>
      </c>
      <c r="C1373" s="2831">
        <v>101</v>
      </c>
      <c r="D1373" s="2831" t="s">
        <v>3572</v>
      </c>
      <c r="E1373" s="2831" t="s">
        <v>2169</v>
      </c>
    </row>
    <row r="1374" spans="1:5">
      <c r="A1374" s="2831">
        <v>669</v>
      </c>
      <c r="B1374" s="2831" t="s">
        <v>3554</v>
      </c>
      <c r="C1374" s="2831">
        <v>5054</v>
      </c>
      <c r="D1374" s="2831" t="s">
        <v>3573</v>
      </c>
      <c r="E1374" s="2831" t="s">
        <v>2166</v>
      </c>
    </row>
    <row r="1375" spans="1:5">
      <c r="A1375" s="2831">
        <v>669</v>
      </c>
      <c r="B1375" s="2831" t="s">
        <v>3554</v>
      </c>
      <c r="C1375" s="2831">
        <v>194</v>
      </c>
      <c r="D1375" s="2831" t="s">
        <v>3574</v>
      </c>
      <c r="E1375" s="2831" t="s">
        <v>2166</v>
      </c>
    </row>
    <row r="1376" spans="1:5">
      <c r="A1376" s="2831">
        <v>669</v>
      </c>
      <c r="B1376" s="2831" t="s">
        <v>3554</v>
      </c>
      <c r="C1376" s="2831">
        <v>176</v>
      </c>
      <c r="D1376" s="2831" t="s">
        <v>3575</v>
      </c>
      <c r="E1376" s="2831" t="s">
        <v>2174</v>
      </c>
    </row>
    <row r="1377" spans="1:5">
      <c r="A1377" s="2831">
        <v>669</v>
      </c>
      <c r="B1377" s="2831" t="s">
        <v>3554</v>
      </c>
      <c r="C1377" s="2831">
        <v>1556</v>
      </c>
      <c r="D1377" s="2831" t="s">
        <v>3576</v>
      </c>
      <c r="E1377" s="2831" t="s">
        <v>2166</v>
      </c>
    </row>
    <row r="1378" spans="1:5">
      <c r="A1378" s="2831">
        <v>669</v>
      </c>
      <c r="B1378" s="2831" t="s">
        <v>3554</v>
      </c>
      <c r="C1378" s="2831">
        <v>389</v>
      </c>
      <c r="D1378" s="2831" t="s">
        <v>3577</v>
      </c>
      <c r="E1378" s="2831" t="s">
        <v>2169</v>
      </c>
    </row>
    <row r="1379" spans="1:5">
      <c r="A1379" s="2831">
        <v>669</v>
      </c>
      <c r="B1379" s="2831" t="s">
        <v>3554</v>
      </c>
      <c r="C1379" s="2831">
        <v>2056</v>
      </c>
      <c r="D1379" s="2831" t="s">
        <v>3578</v>
      </c>
      <c r="E1379" s="2831" t="s">
        <v>2169</v>
      </c>
    </row>
    <row r="1380" spans="1:5">
      <c r="A1380" s="2831">
        <v>669</v>
      </c>
      <c r="B1380" s="2831" t="s">
        <v>3554</v>
      </c>
      <c r="C1380" s="2831">
        <v>3056</v>
      </c>
      <c r="D1380" s="2831" t="s">
        <v>3579</v>
      </c>
      <c r="E1380" s="2831" t="s">
        <v>2169</v>
      </c>
    </row>
    <row r="1381" spans="1:5">
      <c r="A1381" s="2831">
        <v>669</v>
      </c>
      <c r="B1381" s="2831" t="s">
        <v>3554</v>
      </c>
      <c r="C1381" s="2831">
        <v>4056</v>
      </c>
      <c r="D1381" s="2831" t="s">
        <v>3580</v>
      </c>
      <c r="E1381" s="2831" t="s">
        <v>2166</v>
      </c>
    </row>
    <row r="1382" spans="1:5">
      <c r="A1382" s="2831">
        <v>669</v>
      </c>
      <c r="B1382" s="2831" t="s">
        <v>3554</v>
      </c>
      <c r="C1382" s="2831">
        <v>4556</v>
      </c>
      <c r="D1382" s="2831" t="s">
        <v>3581</v>
      </c>
      <c r="E1382" s="2831" t="s">
        <v>2174</v>
      </c>
    </row>
    <row r="1383" spans="1:5">
      <c r="A1383" s="2831">
        <v>669</v>
      </c>
      <c r="B1383" s="2831" t="s">
        <v>3554</v>
      </c>
      <c r="C1383" s="2831">
        <v>192</v>
      </c>
      <c r="D1383" s="2831" t="s">
        <v>3582</v>
      </c>
      <c r="E1383" s="2831" t="s">
        <v>2169</v>
      </c>
    </row>
    <row r="1384" spans="1:5">
      <c r="A1384" s="2831">
        <v>669</v>
      </c>
      <c r="B1384" s="2831" t="s">
        <v>3554</v>
      </c>
      <c r="C1384" s="2831">
        <v>103</v>
      </c>
      <c r="D1384" s="2831" t="s">
        <v>3583</v>
      </c>
      <c r="E1384" s="2831" t="s">
        <v>2166</v>
      </c>
    </row>
    <row r="1385" spans="1:5">
      <c r="A1385" s="2831">
        <v>669</v>
      </c>
      <c r="B1385" s="2831" t="s">
        <v>3554</v>
      </c>
      <c r="C1385" s="2831">
        <v>5056</v>
      </c>
      <c r="D1385" s="2831" t="s">
        <v>3584</v>
      </c>
      <c r="E1385" s="2831" t="s">
        <v>2169</v>
      </c>
    </row>
    <row r="1386" spans="1:5">
      <c r="A1386" s="2831">
        <v>669</v>
      </c>
      <c r="B1386" s="2831" t="s">
        <v>3554</v>
      </c>
      <c r="C1386" s="2831">
        <v>276</v>
      </c>
      <c r="D1386" s="2831" t="s">
        <v>3585</v>
      </c>
      <c r="E1386" s="2831" t="s">
        <v>2166</v>
      </c>
    </row>
    <row r="1387" spans="1:5">
      <c r="A1387" s="2831">
        <v>669</v>
      </c>
      <c r="B1387" s="2831" t="s">
        <v>3554</v>
      </c>
      <c r="C1387" s="2831">
        <v>189</v>
      </c>
      <c r="D1387" s="2831" t="s">
        <v>3586</v>
      </c>
      <c r="E1387" s="2831" t="s">
        <v>2169</v>
      </c>
    </row>
    <row r="1388" spans="1:5">
      <c r="A1388" s="2831">
        <v>669</v>
      </c>
      <c r="B1388" s="2831" t="s">
        <v>3554</v>
      </c>
      <c r="C1388" s="2831">
        <v>294</v>
      </c>
      <c r="D1388" s="2831" t="s">
        <v>3587</v>
      </c>
      <c r="E1388" s="2831" t="s">
        <v>2169</v>
      </c>
    </row>
    <row r="1389" spans="1:5">
      <c r="A1389" s="2831">
        <v>669</v>
      </c>
      <c r="B1389" s="2831" t="s">
        <v>3554</v>
      </c>
      <c r="C1389" s="2831">
        <v>1058</v>
      </c>
      <c r="D1389" s="2831" t="s">
        <v>3588</v>
      </c>
      <c r="E1389" s="2831" t="s">
        <v>2169</v>
      </c>
    </row>
    <row r="1390" spans="1:5">
      <c r="A1390" s="2831">
        <v>669</v>
      </c>
      <c r="B1390" s="2831" t="s">
        <v>3554</v>
      </c>
      <c r="C1390" s="2831">
        <v>112</v>
      </c>
      <c r="D1390" s="2831" t="s">
        <v>3589</v>
      </c>
      <c r="E1390" s="2831" t="s">
        <v>2166</v>
      </c>
    </row>
    <row r="1391" spans="1:5">
      <c r="A1391" s="2831">
        <v>669</v>
      </c>
      <c r="B1391" s="2831" t="s">
        <v>3554</v>
      </c>
      <c r="C1391" s="2831">
        <v>393</v>
      </c>
      <c r="D1391" s="2831" t="s">
        <v>3590</v>
      </c>
      <c r="E1391" s="2831" t="s">
        <v>2166</v>
      </c>
    </row>
    <row r="1392" spans="1:5">
      <c r="A1392" s="2831">
        <v>670</v>
      </c>
      <c r="B1392" s="2831" t="s">
        <v>3591</v>
      </c>
      <c r="C1392" s="2831">
        <v>288</v>
      </c>
      <c r="D1392" s="2831" t="s">
        <v>3592</v>
      </c>
      <c r="E1392" s="2831" t="s">
        <v>2169</v>
      </c>
    </row>
    <row r="1393" spans="1:5">
      <c r="A1393" s="2831">
        <v>670</v>
      </c>
      <c r="B1393" s="2831" t="s">
        <v>3591</v>
      </c>
      <c r="C1393" s="2831">
        <v>106</v>
      </c>
      <c r="D1393" s="2831" t="s">
        <v>3593</v>
      </c>
      <c r="E1393" s="2831" t="s">
        <v>2169</v>
      </c>
    </row>
    <row r="1394" spans="1:5">
      <c r="A1394" s="2831">
        <v>670</v>
      </c>
      <c r="B1394" s="2831" t="s">
        <v>3591</v>
      </c>
      <c r="C1394" s="2831">
        <v>188</v>
      </c>
      <c r="D1394" s="2831" t="s">
        <v>2736</v>
      </c>
      <c r="E1394" s="2831" t="s">
        <v>2169</v>
      </c>
    </row>
    <row r="1395" spans="1:5">
      <c r="A1395" s="2831">
        <v>671</v>
      </c>
      <c r="B1395" s="2831" t="s">
        <v>3594</v>
      </c>
      <c r="C1395" s="2831">
        <v>178</v>
      </c>
      <c r="D1395" s="2831" t="s">
        <v>3595</v>
      </c>
      <c r="E1395" s="2831" t="s">
        <v>2174</v>
      </c>
    </row>
    <row r="1396" spans="1:5">
      <c r="A1396" s="2831">
        <v>671</v>
      </c>
      <c r="B1396" s="2831" t="s">
        <v>3594</v>
      </c>
      <c r="C1396" s="2831">
        <v>2050</v>
      </c>
      <c r="D1396" s="2831" t="s">
        <v>3596</v>
      </c>
      <c r="E1396" s="2831" t="s">
        <v>2169</v>
      </c>
    </row>
    <row r="1397" spans="1:5">
      <c r="A1397" s="2831">
        <v>671</v>
      </c>
      <c r="B1397" s="2831" t="s">
        <v>3594</v>
      </c>
      <c r="C1397" s="2831">
        <v>3050</v>
      </c>
      <c r="D1397" s="2831" t="s">
        <v>3597</v>
      </c>
      <c r="E1397" s="2831" t="s">
        <v>2166</v>
      </c>
    </row>
    <row r="1398" spans="1:5">
      <c r="A1398" s="2831">
        <v>671</v>
      </c>
      <c r="B1398" s="2831" t="s">
        <v>3594</v>
      </c>
      <c r="C1398" s="2831">
        <v>197</v>
      </c>
      <c r="D1398" s="2831" t="s">
        <v>3598</v>
      </c>
      <c r="E1398" s="2831" t="s">
        <v>2174</v>
      </c>
    </row>
    <row r="1399" spans="1:5">
      <c r="A1399" s="2831">
        <v>671</v>
      </c>
      <c r="B1399" s="2831" t="s">
        <v>3594</v>
      </c>
      <c r="C1399" s="2831">
        <v>104</v>
      </c>
      <c r="D1399" s="2831" t="s">
        <v>3599</v>
      </c>
      <c r="E1399" s="2831" t="s">
        <v>2169</v>
      </c>
    </row>
    <row r="1400" spans="1:5">
      <c r="A1400" s="2831">
        <v>671</v>
      </c>
      <c r="B1400" s="2831" t="s">
        <v>3594</v>
      </c>
      <c r="C1400" s="2831">
        <v>4050</v>
      </c>
      <c r="D1400" s="2831" t="s">
        <v>3600</v>
      </c>
      <c r="E1400" s="2831" t="s">
        <v>2174</v>
      </c>
    </row>
    <row r="1401" spans="1:5">
      <c r="A1401" s="2831">
        <v>672</v>
      </c>
      <c r="B1401" s="2831" t="s">
        <v>3601</v>
      </c>
      <c r="C1401" s="2831">
        <v>110</v>
      </c>
      <c r="D1401" s="2831" t="s">
        <v>3602</v>
      </c>
      <c r="E1401" s="2831" t="s">
        <v>2174</v>
      </c>
    </row>
    <row r="1402" spans="1:5">
      <c r="A1402" s="2831">
        <v>672</v>
      </c>
      <c r="B1402" s="2831" t="s">
        <v>3601</v>
      </c>
      <c r="C1402" s="2831">
        <v>399</v>
      </c>
      <c r="D1402" s="2831" t="s">
        <v>3603</v>
      </c>
      <c r="E1402" s="2831" t="s">
        <v>2174</v>
      </c>
    </row>
    <row r="1403" spans="1:5">
      <c r="A1403" s="2831">
        <v>672</v>
      </c>
      <c r="B1403" s="2831" t="s">
        <v>3601</v>
      </c>
      <c r="C1403" s="2831">
        <v>299</v>
      </c>
      <c r="D1403" s="2831" t="s">
        <v>3604</v>
      </c>
      <c r="E1403" s="2831" t="s">
        <v>2166</v>
      </c>
    </row>
    <row r="1404" spans="1:5">
      <c r="A1404" s="2831">
        <v>672</v>
      </c>
      <c r="B1404" s="2831" t="s">
        <v>3601</v>
      </c>
      <c r="C1404" s="2831">
        <v>199</v>
      </c>
      <c r="D1404" s="2831" t="s">
        <v>3605</v>
      </c>
      <c r="E1404" s="2831" t="s">
        <v>2174</v>
      </c>
    </row>
    <row r="1405" spans="1:5">
      <c r="A1405" s="2831">
        <v>672</v>
      </c>
      <c r="B1405" s="2831" t="s">
        <v>3601</v>
      </c>
      <c r="C1405" s="2831">
        <v>290</v>
      </c>
      <c r="D1405" s="2831" t="s">
        <v>3606</v>
      </c>
      <c r="E1405" s="2831" t="s">
        <v>2174</v>
      </c>
    </row>
    <row r="1406" spans="1:5">
      <c r="A1406" s="2831">
        <v>672</v>
      </c>
      <c r="B1406" s="2831" t="s">
        <v>3601</v>
      </c>
      <c r="C1406" s="2831">
        <v>188</v>
      </c>
      <c r="D1406" s="2831" t="s">
        <v>3607</v>
      </c>
      <c r="E1406" s="2831" t="s">
        <v>2166</v>
      </c>
    </row>
    <row r="1407" spans="1:5">
      <c r="A1407" s="2831">
        <v>672</v>
      </c>
      <c r="B1407" s="2831" t="s">
        <v>3601</v>
      </c>
      <c r="C1407" s="2831">
        <v>190</v>
      </c>
      <c r="D1407" s="2831" t="s">
        <v>2995</v>
      </c>
      <c r="E1407" s="2831" t="s">
        <v>2174</v>
      </c>
    </row>
    <row r="1408" spans="1:5">
      <c r="A1408" s="2831">
        <v>673</v>
      </c>
      <c r="B1408" s="2831" t="s">
        <v>3608</v>
      </c>
      <c r="C1408" s="2831">
        <v>3050</v>
      </c>
      <c r="D1408" s="2831" t="s">
        <v>3609</v>
      </c>
      <c r="E1408" s="2831" t="s">
        <v>2166</v>
      </c>
    </row>
    <row r="1409" spans="1:5">
      <c r="A1409" s="2831">
        <v>673</v>
      </c>
      <c r="B1409" s="2831" t="s">
        <v>3608</v>
      </c>
      <c r="C1409" s="2831">
        <v>191</v>
      </c>
      <c r="D1409" s="2831" t="s">
        <v>3610</v>
      </c>
      <c r="E1409" s="2831" t="s">
        <v>2169</v>
      </c>
    </row>
    <row r="1410" spans="1:5">
      <c r="A1410" s="2831">
        <v>673</v>
      </c>
      <c r="B1410" s="2831" t="s">
        <v>3608</v>
      </c>
      <c r="C1410" s="2831">
        <v>5050</v>
      </c>
      <c r="D1410" s="2831" t="s">
        <v>3611</v>
      </c>
      <c r="E1410" s="2831" t="s">
        <v>2174</v>
      </c>
    </row>
    <row r="1411" spans="1:5">
      <c r="A1411" s="2831">
        <v>673</v>
      </c>
      <c r="B1411" s="2831" t="s">
        <v>3608</v>
      </c>
      <c r="C1411" s="2831">
        <v>102</v>
      </c>
      <c r="D1411" s="2831" t="s">
        <v>3612</v>
      </c>
      <c r="E1411" s="2831" t="s">
        <v>2174</v>
      </c>
    </row>
    <row r="1412" spans="1:5">
      <c r="A1412" s="2831">
        <v>673</v>
      </c>
      <c r="B1412" s="2831" t="s">
        <v>3608</v>
      </c>
      <c r="C1412" s="2831">
        <v>202</v>
      </c>
      <c r="D1412" s="2831" t="s">
        <v>3613</v>
      </c>
      <c r="E1412" s="2831" t="s">
        <v>2166</v>
      </c>
    </row>
    <row r="1413" spans="1:5">
      <c r="A1413" s="2831">
        <v>674</v>
      </c>
      <c r="B1413" s="2831" t="s">
        <v>3614</v>
      </c>
      <c r="C1413" s="2831">
        <v>1050</v>
      </c>
      <c r="D1413" s="2831" t="s">
        <v>3615</v>
      </c>
      <c r="E1413" s="2831" t="s">
        <v>2174</v>
      </c>
    </row>
    <row r="1414" spans="1:5">
      <c r="A1414" s="2831">
        <v>674</v>
      </c>
      <c r="B1414" s="2831" t="s">
        <v>3614</v>
      </c>
      <c r="C1414" s="2831">
        <v>2050</v>
      </c>
      <c r="D1414" s="2831" t="s">
        <v>3616</v>
      </c>
      <c r="E1414" s="2831" t="s">
        <v>2166</v>
      </c>
    </row>
    <row r="1415" spans="1:5">
      <c r="A1415" s="2831">
        <v>674</v>
      </c>
      <c r="B1415" s="2831" t="s">
        <v>3614</v>
      </c>
      <c r="C1415" s="2831">
        <v>110</v>
      </c>
      <c r="D1415" s="2831" t="s">
        <v>3617</v>
      </c>
      <c r="E1415" s="2831" t="s">
        <v>2166</v>
      </c>
    </row>
    <row r="1416" spans="1:5">
      <c r="A1416" s="2831">
        <v>674</v>
      </c>
      <c r="B1416" s="2831" t="s">
        <v>3614</v>
      </c>
      <c r="C1416" s="2831">
        <v>102</v>
      </c>
      <c r="D1416" s="2831" t="s">
        <v>3618</v>
      </c>
      <c r="E1416" s="2831" t="s">
        <v>2166</v>
      </c>
    </row>
    <row r="1417" spans="1:5">
      <c r="A1417" s="2831">
        <v>674</v>
      </c>
      <c r="B1417" s="2831" t="s">
        <v>3614</v>
      </c>
      <c r="C1417" s="2831">
        <v>106</v>
      </c>
      <c r="D1417" s="2831" t="s">
        <v>2343</v>
      </c>
      <c r="E1417" s="2831" t="s">
        <v>2166</v>
      </c>
    </row>
    <row r="1418" spans="1:5">
      <c r="A1418" s="2831">
        <v>675</v>
      </c>
      <c r="B1418" s="2831" t="s">
        <v>3619</v>
      </c>
      <c r="C1418" s="2831">
        <v>294</v>
      </c>
      <c r="D1418" s="2831" t="s">
        <v>2287</v>
      </c>
      <c r="E1418" s="2831" t="s">
        <v>2166</v>
      </c>
    </row>
    <row r="1419" spans="1:5">
      <c r="A1419" s="2831">
        <v>675</v>
      </c>
      <c r="B1419" s="2831" t="s">
        <v>3619</v>
      </c>
      <c r="C1419" s="2831">
        <v>397</v>
      </c>
      <c r="D1419" s="2831" t="s">
        <v>3620</v>
      </c>
      <c r="E1419" s="2831" t="s">
        <v>2174</v>
      </c>
    </row>
    <row r="1420" spans="1:5">
      <c r="A1420" s="2831">
        <v>675</v>
      </c>
      <c r="B1420" s="2831" t="s">
        <v>3619</v>
      </c>
      <c r="C1420" s="2831">
        <v>209</v>
      </c>
      <c r="D1420" s="2831" t="s">
        <v>2290</v>
      </c>
      <c r="E1420" s="2831" t="s">
        <v>2169</v>
      </c>
    </row>
    <row r="1421" spans="1:5">
      <c r="A1421" s="2831">
        <v>675</v>
      </c>
      <c r="B1421" s="2831" t="s">
        <v>3619</v>
      </c>
      <c r="C1421" s="2831">
        <v>191</v>
      </c>
      <c r="D1421" s="2831" t="s">
        <v>3621</v>
      </c>
      <c r="E1421" s="2831" t="s">
        <v>2166</v>
      </c>
    </row>
    <row r="1422" spans="1:5">
      <c r="A1422" s="2831">
        <v>675</v>
      </c>
      <c r="B1422" s="2831" t="s">
        <v>3619</v>
      </c>
      <c r="C1422" s="2831">
        <v>107</v>
      </c>
      <c r="D1422" s="2831" t="s">
        <v>3622</v>
      </c>
      <c r="E1422" s="2831" t="s">
        <v>2169</v>
      </c>
    </row>
    <row r="1423" spans="1:5">
      <c r="A1423" s="2831">
        <v>675</v>
      </c>
      <c r="B1423" s="2831" t="s">
        <v>3619</v>
      </c>
      <c r="C1423" s="2831">
        <v>105</v>
      </c>
      <c r="D1423" s="2831" t="s">
        <v>3623</v>
      </c>
      <c r="E1423" s="2831" t="s">
        <v>2174</v>
      </c>
    </row>
    <row r="1424" spans="1:5">
      <c r="A1424" s="2831">
        <v>675</v>
      </c>
      <c r="B1424" s="2831" t="s">
        <v>3619</v>
      </c>
      <c r="C1424" s="2831">
        <v>206</v>
      </c>
      <c r="D1424" s="2831" t="s">
        <v>3624</v>
      </c>
      <c r="E1424" s="2831" t="s">
        <v>2169</v>
      </c>
    </row>
    <row r="1425" spans="1:5">
      <c r="A1425" s="2831">
        <v>675</v>
      </c>
      <c r="B1425" s="2831" t="s">
        <v>3619</v>
      </c>
      <c r="C1425" s="2831">
        <v>804</v>
      </c>
      <c r="D1425" s="2831" t="s">
        <v>3625</v>
      </c>
      <c r="E1425" s="2831" t="s">
        <v>2166</v>
      </c>
    </row>
    <row r="1426" spans="1:5">
      <c r="A1426" s="2831">
        <v>675</v>
      </c>
      <c r="B1426" s="2831" t="s">
        <v>3619</v>
      </c>
      <c r="C1426" s="2831">
        <v>391</v>
      </c>
      <c r="D1426" s="2831" t="s">
        <v>3626</v>
      </c>
      <c r="E1426" s="2831" t="s">
        <v>2169</v>
      </c>
    </row>
    <row r="1427" spans="1:5">
      <c r="A1427" s="2831">
        <v>675</v>
      </c>
      <c r="B1427" s="2831" t="s">
        <v>3619</v>
      </c>
      <c r="C1427" s="2831">
        <v>394</v>
      </c>
      <c r="D1427" s="2831" t="s">
        <v>3627</v>
      </c>
      <c r="E1427" s="2831" t="s">
        <v>2169</v>
      </c>
    </row>
    <row r="1428" spans="1:5">
      <c r="A1428" s="2831">
        <v>675</v>
      </c>
      <c r="B1428" s="2831" t="s">
        <v>3619</v>
      </c>
      <c r="C1428" s="2831">
        <v>203</v>
      </c>
      <c r="D1428" s="2831" t="s">
        <v>3628</v>
      </c>
      <c r="E1428" s="2831" t="s">
        <v>2169</v>
      </c>
    </row>
    <row r="1429" spans="1:5">
      <c r="A1429" s="2831">
        <v>675</v>
      </c>
      <c r="B1429" s="2831" t="s">
        <v>3619</v>
      </c>
      <c r="C1429" s="2831">
        <v>1050</v>
      </c>
      <c r="D1429" s="2831" t="s">
        <v>3545</v>
      </c>
      <c r="E1429" s="2831" t="s">
        <v>2166</v>
      </c>
    </row>
    <row r="1430" spans="1:5">
      <c r="A1430" s="2831">
        <v>675</v>
      </c>
      <c r="B1430" s="2831" t="s">
        <v>3619</v>
      </c>
      <c r="C1430" s="2831">
        <v>503</v>
      </c>
      <c r="D1430" s="2831" t="s">
        <v>3629</v>
      </c>
      <c r="E1430" s="2831" t="s">
        <v>2166</v>
      </c>
    </row>
    <row r="1431" spans="1:5">
      <c r="A1431" s="2831">
        <v>675</v>
      </c>
      <c r="B1431" s="2831" t="s">
        <v>3619</v>
      </c>
      <c r="C1431" s="2831">
        <v>2050</v>
      </c>
      <c r="D1431" s="2831" t="s">
        <v>3630</v>
      </c>
      <c r="E1431" s="2831" t="s">
        <v>2169</v>
      </c>
    </row>
    <row r="1432" spans="1:5">
      <c r="A1432" s="2831">
        <v>675</v>
      </c>
      <c r="B1432" s="2831" t="s">
        <v>3619</v>
      </c>
      <c r="C1432" s="2831">
        <v>315</v>
      </c>
      <c r="D1432" s="2831" t="s">
        <v>3631</v>
      </c>
      <c r="E1432" s="2831" t="s">
        <v>2169</v>
      </c>
    </row>
    <row r="1433" spans="1:5">
      <c r="A1433" s="2831">
        <v>675</v>
      </c>
      <c r="B1433" s="2831" t="s">
        <v>3619</v>
      </c>
      <c r="C1433" s="2831">
        <v>215</v>
      </c>
      <c r="D1433" s="2831" t="s">
        <v>3632</v>
      </c>
      <c r="E1433" s="2831" t="s">
        <v>2169</v>
      </c>
    </row>
    <row r="1434" spans="1:5">
      <c r="A1434" s="2831">
        <v>675</v>
      </c>
      <c r="B1434" s="2831" t="s">
        <v>3619</v>
      </c>
      <c r="C1434" s="2831">
        <v>297</v>
      </c>
      <c r="D1434" s="2831" t="s">
        <v>2545</v>
      </c>
      <c r="E1434" s="2831" t="s">
        <v>2166</v>
      </c>
    </row>
    <row r="1435" spans="1:5">
      <c r="A1435" s="2831">
        <v>675</v>
      </c>
      <c r="B1435" s="2831" t="s">
        <v>3619</v>
      </c>
      <c r="C1435" s="2831">
        <v>5050</v>
      </c>
      <c r="D1435" s="2831" t="s">
        <v>3633</v>
      </c>
      <c r="E1435" s="2831" t="s">
        <v>2174</v>
      </c>
    </row>
    <row r="1436" spans="1:5">
      <c r="A1436" s="2831">
        <v>675</v>
      </c>
      <c r="B1436" s="2831" t="s">
        <v>3619</v>
      </c>
      <c r="C1436" s="2831">
        <v>214</v>
      </c>
      <c r="D1436" s="2831" t="s">
        <v>3634</v>
      </c>
      <c r="E1436" s="2831" t="s">
        <v>2169</v>
      </c>
    </row>
    <row r="1437" spans="1:5">
      <c r="A1437" s="2831">
        <v>675</v>
      </c>
      <c r="B1437" s="2831" t="s">
        <v>3619</v>
      </c>
      <c r="C1437" s="2831">
        <v>213</v>
      </c>
      <c r="D1437" s="2831" t="s">
        <v>3635</v>
      </c>
      <c r="E1437" s="2831" t="s">
        <v>2169</v>
      </c>
    </row>
    <row r="1438" spans="1:5">
      <c r="A1438" s="2831">
        <v>675</v>
      </c>
      <c r="B1438" s="2831" t="s">
        <v>3619</v>
      </c>
      <c r="C1438" s="2831">
        <v>106</v>
      </c>
      <c r="D1438" s="2831" t="s">
        <v>3636</v>
      </c>
      <c r="E1438" s="2831" t="s">
        <v>2169</v>
      </c>
    </row>
    <row r="1439" spans="1:5">
      <c r="A1439" s="2831">
        <v>675</v>
      </c>
      <c r="B1439" s="2831" t="s">
        <v>3619</v>
      </c>
      <c r="C1439" s="2831">
        <v>104</v>
      </c>
      <c r="D1439" s="2831" t="s">
        <v>3637</v>
      </c>
      <c r="E1439" s="2831" t="s">
        <v>2166</v>
      </c>
    </row>
    <row r="1440" spans="1:5">
      <c r="A1440" s="2831">
        <v>675</v>
      </c>
      <c r="B1440" s="2831" t="s">
        <v>3619</v>
      </c>
      <c r="C1440" s="2831">
        <v>603</v>
      </c>
      <c r="D1440" s="2831" t="s">
        <v>3638</v>
      </c>
      <c r="E1440" s="2831" t="s">
        <v>2169</v>
      </c>
    </row>
    <row r="1441" spans="1:5">
      <c r="A1441" s="2831">
        <v>675</v>
      </c>
      <c r="B1441" s="2831" t="s">
        <v>3619</v>
      </c>
      <c r="C1441" s="2831">
        <v>3050</v>
      </c>
      <c r="D1441" s="2831" t="s">
        <v>3639</v>
      </c>
      <c r="E1441" s="2831" t="s">
        <v>2174</v>
      </c>
    </row>
    <row r="1442" spans="1:5">
      <c r="A1442" s="2831">
        <v>675</v>
      </c>
      <c r="B1442" s="2831" t="s">
        <v>3619</v>
      </c>
      <c r="C1442" s="2831">
        <v>4050</v>
      </c>
      <c r="D1442" s="2831" t="s">
        <v>3640</v>
      </c>
      <c r="E1442" s="2831" t="s">
        <v>2166</v>
      </c>
    </row>
    <row r="1443" spans="1:5">
      <c r="A1443" s="2831">
        <v>675</v>
      </c>
      <c r="B1443" s="2831" t="s">
        <v>3619</v>
      </c>
      <c r="C1443" s="2831">
        <v>200</v>
      </c>
      <c r="D1443" s="2831" t="s">
        <v>3086</v>
      </c>
      <c r="E1443" s="2831" t="s">
        <v>2174</v>
      </c>
    </row>
    <row r="1444" spans="1:5">
      <c r="A1444" s="2831">
        <v>675</v>
      </c>
      <c r="B1444" s="2831" t="s">
        <v>3619</v>
      </c>
      <c r="C1444" s="2831">
        <v>407</v>
      </c>
      <c r="D1444" s="2831" t="s">
        <v>3641</v>
      </c>
      <c r="E1444" s="2831" t="s">
        <v>2174</v>
      </c>
    </row>
    <row r="1445" spans="1:5">
      <c r="A1445" s="2831">
        <v>675</v>
      </c>
      <c r="B1445" s="2831" t="s">
        <v>3619</v>
      </c>
      <c r="C1445" s="2831">
        <v>291</v>
      </c>
      <c r="D1445" s="2831" t="s">
        <v>3642</v>
      </c>
      <c r="E1445" s="2831" t="s">
        <v>2169</v>
      </c>
    </row>
    <row r="1446" spans="1:5">
      <c r="A1446" s="2831">
        <v>675</v>
      </c>
      <c r="B1446" s="2831" t="s">
        <v>3619</v>
      </c>
      <c r="C1446" s="2831">
        <v>100</v>
      </c>
      <c r="D1446" s="2831" t="s">
        <v>3643</v>
      </c>
      <c r="E1446" s="2831" t="s">
        <v>2169</v>
      </c>
    </row>
    <row r="1447" spans="1:5">
      <c r="A1447" s="2831">
        <v>675</v>
      </c>
      <c r="B1447" s="2831" t="s">
        <v>3619</v>
      </c>
      <c r="C1447" s="2831">
        <v>307</v>
      </c>
      <c r="D1447" s="2831" t="s">
        <v>3644</v>
      </c>
      <c r="E1447" s="2831" t="s">
        <v>2174</v>
      </c>
    </row>
    <row r="1448" spans="1:5">
      <c r="A1448" s="2831">
        <v>675</v>
      </c>
      <c r="B1448" s="2831" t="s">
        <v>3619</v>
      </c>
      <c r="C1448" s="2831">
        <v>507</v>
      </c>
      <c r="D1448" s="2831" t="s">
        <v>3645</v>
      </c>
      <c r="E1448" s="2831" t="s">
        <v>2174</v>
      </c>
    </row>
    <row r="1449" spans="1:5">
      <c r="A1449" s="2831">
        <v>675</v>
      </c>
      <c r="B1449" s="2831" t="s">
        <v>3619</v>
      </c>
      <c r="C1449" s="2831">
        <v>196</v>
      </c>
      <c r="D1449" s="2831" t="s">
        <v>3646</v>
      </c>
      <c r="E1449" s="2831" t="s">
        <v>2169</v>
      </c>
    </row>
    <row r="1450" spans="1:5">
      <c r="A1450" s="2831">
        <v>675</v>
      </c>
      <c r="B1450" s="2831" t="s">
        <v>3619</v>
      </c>
      <c r="C1450" s="2831">
        <v>197</v>
      </c>
      <c r="D1450" s="2831" t="s">
        <v>3647</v>
      </c>
      <c r="E1450" s="2831" t="s">
        <v>2166</v>
      </c>
    </row>
    <row r="1451" spans="1:5">
      <c r="A1451" s="2831">
        <v>675</v>
      </c>
      <c r="B1451" s="2831" t="s">
        <v>3619</v>
      </c>
      <c r="C1451" s="2831">
        <v>403</v>
      </c>
      <c r="D1451" s="2831" t="s">
        <v>3648</v>
      </c>
      <c r="E1451" s="2831" t="s">
        <v>2169</v>
      </c>
    </row>
    <row r="1452" spans="1:5">
      <c r="A1452" s="2831">
        <v>675</v>
      </c>
      <c r="B1452" s="2831" t="s">
        <v>3619</v>
      </c>
      <c r="C1452" s="2831">
        <v>509</v>
      </c>
      <c r="D1452" s="2831" t="s">
        <v>3649</v>
      </c>
      <c r="E1452" s="2831" t="s">
        <v>2174</v>
      </c>
    </row>
    <row r="1453" spans="1:5">
      <c r="A1453" s="2831">
        <v>675</v>
      </c>
      <c r="B1453" s="2831" t="s">
        <v>3619</v>
      </c>
      <c r="C1453" s="2831">
        <v>211</v>
      </c>
      <c r="D1453" s="2831" t="s">
        <v>3650</v>
      </c>
      <c r="E1453" s="2831" t="s">
        <v>2166</v>
      </c>
    </row>
    <row r="1454" spans="1:5">
      <c r="A1454" s="2831">
        <v>675</v>
      </c>
      <c r="B1454" s="2831" t="s">
        <v>3619</v>
      </c>
      <c r="C1454" s="2831">
        <v>2552</v>
      </c>
      <c r="D1454" s="2831" t="s">
        <v>3651</v>
      </c>
      <c r="E1454" s="2831" t="s">
        <v>2166</v>
      </c>
    </row>
    <row r="1455" spans="1:5">
      <c r="A1455" s="2831">
        <v>675</v>
      </c>
      <c r="B1455" s="2831" t="s">
        <v>3619</v>
      </c>
      <c r="C1455" s="2831">
        <v>3052</v>
      </c>
      <c r="D1455" s="2831" t="s">
        <v>3652</v>
      </c>
      <c r="E1455" s="2831" t="s">
        <v>2169</v>
      </c>
    </row>
    <row r="1456" spans="1:5">
      <c r="A1456" s="2831">
        <v>675</v>
      </c>
      <c r="B1456" s="2831" t="s">
        <v>3619</v>
      </c>
      <c r="C1456" s="2831">
        <v>295</v>
      </c>
      <c r="D1456" s="2831" t="s">
        <v>3653</v>
      </c>
      <c r="E1456" s="2831" t="s">
        <v>2169</v>
      </c>
    </row>
    <row r="1457" spans="1:5">
      <c r="A1457" s="2831">
        <v>675</v>
      </c>
      <c r="B1457" s="2831" t="s">
        <v>3619</v>
      </c>
      <c r="C1457" s="2831">
        <v>5052</v>
      </c>
      <c r="D1457" s="2831" t="s">
        <v>3654</v>
      </c>
      <c r="E1457" s="2831" t="s">
        <v>2169</v>
      </c>
    </row>
    <row r="1458" spans="1:5">
      <c r="A1458" s="2831">
        <v>675</v>
      </c>
      <c r="B1458" s="2831" t="s">
        <v>3619</v>
      </c>
      <c r="C1458" s="2831">
        <v>207</v>
      </c>
      <c r="D1458" s="2831" t="s">
        <v>2779</v>
      </c>
      <c r="E1458" s="2831" t="s">
        <v>2169</v>
      </c>
    </row>
    <row r="1459" spans="1:5">
      <c r="A1459" s="2831">
        <v>675</v>
      </c>
      <c r="B1459" s="2831" t="s">
        <v>3619</v>
      </c>
      <c r="C1459" s="2831">
        <v>409</v>
      </c>
      <c r="D1459" s="2831" t="s">
        <v>3655</v>
      </c>
      <c r="E1459" s="2831" t="s">
        <v>2169</v>
      </c>
    </row>
    <row r="1460" spans="1:5">
      <c r="A1460" s="2831">
        <v>675</v>
      </c>
      <c r="B1460" s="2831" t="s">
        <v>3619</v>
      </c>
      <c r="C1460" s="2831">
        <v>101</v>
      </c>
      <c r="D1460" s="2831" t="s">
        <v>3656</v>
      </c>
      <c r="E1460" s="2831" t="s">
        <v>2166</v>
      </c>
    </row>
    <row r="1461" spans="1:5">
      <c r="A1461" s="2831">
        <v>675</v>
      </c>
      <c r="B1461" s="2831" t="s">
        <v>3619</v>
      </c>
      <c r="C1461" s="2831">
        <v>703</v>
      </c>
      <c r="D1461" s="2831" t="s">
        <v>3657</v>
      </c>
      <c r="E1461" s="2831" t="s">
        <v>2166</v>
      </c>
    </row>
    <row r="1462" spans="1:5">
      <c r="A1462" s="2831">
        <v>675</v>
      </c>
      <c r="B1462" s="2831" t="s">
        <v>3619</v>
      </c>
      <c r="C1462" s="2831">
        <v>303</v>
      </c>
      <c r="D1462" s="2831" t="s">
        <v>3658</v>
      </c>
      <c r="E1462" s="2831" t="s">
        <v>2169</v>
      </c>
    </row>
    <row r="1463" spans="1:5">
      <c r="A1463" s="2831">
        <v>675</v>
      </c>
      <c r="B1463" s="2831" t="s">
        <v>3619</v>
      </c>
      <c r="C1463" s="2831">
        <v>208</v>
      </c>
      <c r="D1463" s="2831" t="s">
        <v>3659</v>
      </c>
      <c r="E1463" s="2831" t="s">
        <v>2169</v>
      </c>
    </row>
    <row r="1464" spans="1:5">
      <c r="A1464" s="2831">
        <v>675</v>
      </c>
      <c r="B1464" s="2831" t="s">
        <v>3619</v>
      </c>
      <c r="C1464" s="2831">
        <v>194</v>
      </c>
      <c r="D1464" s="2831" t="s">
        <v>3660</v>
      </c>
      <c r="E1464" s="2831" t="s">
        <v>2169</v>
      </c>
    </row>
    <row r="1465" spans="1:5">
      <c r="A1465" s="2831">
        <v>675</v>
      </c>
      <c r="B1465" s="2831" t="s">
        <v>3619</v>
      </c>
      <c r="C1465" s="2831">
        <v>108</v>
      </c>
      <c r="D1465" s="2831" t="s">
        <v>3331</v>
      </c>
      <c r="E1465" s="2831" t="s">
        <v>2169</v>
      </c>
    </row>
    <row r="1466" spans="1:5">
      <c r="A1466" s="2831">
        <v>675</v>
      </c>
      <c r="B1466" s="2831" t="s">
        <v>3619</v>
      </c>
      <c r="C1466" s="2831">
        <v>408</v>
      </c>
      <c r="D1466" s="2831" t="s">
        <v>2319</v>
      </c>
      <c r="E1466" s="2831" t="s">
        <v>2169</v>
      </c>
    </row>
    <row r="1467" spans="1:5">
      <c r="A1467" s="2831">
        <v>675</v>
      </c>
      <c r="B1467" s="2831" t="s">
        <v>3619</v>
      </c>
      <c r="C1467" s="2831">
        <v>308</v>
      </c>
      <c r="D1467" s="2831" t="s">
        <v>3332</v>
      </c>
      <c r="E1467" s="2831" t="s">
        <v>2166</v>
      </c>
    </row>
    <row r="1468" spans="1:5">
      <c r="A1468" s="2831">
        <v>676</v>
      </c>
      <c r="B1468" s="2831" t="s">
        <v>3661</v>
      </c>
      <c r="C1468" s="2831">
        <v>1050</v>
      </c>
      <c r="D1468" s="2831" t="s">
        <v>3662</v>
      </c>
      <c r="E1468" s="2831" t="s">
        <v>2174</v>
      </c>
    </row>
    <row r="1469" spans="1:5">
      <c r="A1469" s="2831">
        <v>676</v>
      </c>
      <c r="B1469" s="2831" t="s">
        <v>3661</v>
      </c>
      <c r="C1469" s="2831">
        <v>296</v>
      </c>
      <c r="D1469" s="2831" t="s">
        <v>3663</v>
      </c>
      <c r="E1469" s="2831" t="s">
        <v>2174</v>
      </c>
    </row>
    <row r="1470" spans="1:5">
      <c r="A1470" s="2831">
        <v>676</v>
      </c>
      <c r="B1470" s="2831" t="s">
        <v>3661</v>
      </c>
      <c r="C1470" s="2831">
        <v>401</v>
      </c>
      <c r="D1470" s="2831" t="s">
        <v>3664</v>
      </c>
      <c r="E1470" s="2831" t="s">
        <v>2169</v>
      </c>
    </row>
    <row r="1471" spans="1:5">
      <c r="A1471" s="2831">
        <v>676</v>
      </c>
      <c r="B1471" s="2831" t="s">
        <v>3661</v>
      </c>
      <c r="C1471" s="2831">
        <v>102</v>
      </c>
      <c r="D1471" s="2831" t="s">
        <v>3665</v>
      </c>
      <c r="E1471" s="2831" t="s">
        <v>2169</v>
      </c>
    </row>
    <row r="1472" spans="1:5">
      <c r="A1472" s="2831">
        <v>676</v>
      </c>
      <c r="B1472" s="2831" t="s">
        <v>3661</v>
      </c>
      <c r="C1472" s="2831">
        <v>2050</v>
      </c>
      <c r="D1472" s="2831" t="s">
        <v>3429</v>
      </c>
      <c r="E1472" s="2831" t="s">
        <v>2174</v>
      </c>
    </row>
    <row r="1473" spans="1:5">
      <c r="A1473" s="2831">
        <v>676</v>
      </c>
      <c r="B1473" s="2831" t="s">
        <v>3661</v>
      </c>
      <c r="C1473" s="2831">
        <v>194</v>
      </c>
      <c r="D1473" s="2831" t="s">
        <v>3666</v>
      </c>
      <c r="E1473" s="2831" t="s">
        <v>2174</v>
      </c>
    </row>
    <row r="1474" spans="1:5">
      <c r="A1474" s="2831">
        <v>676</v>
      </c>
      <c r="B1474" s="2831" t="s">
        <v>3661</v>
      </c>
      <c r="C1474" s="2831">
        <v>104</v>
      </c>
      <c r="D1474" s="2831" t="s">
        <v>3667</v>
      </c>
      <c r="E1474" s="2831" t="s">
        <v>2169</v>
      </c>
    </row>
    <row r="1475" spans="1:5">
      <c r="A1475" s="2831">
        <v>676</v>
      </c>
      <c r="B1475" s="2831" t="s">
        <v>3661</v>
      </c>
      <c r="C1475" s="2831">
        <v>100</v>
      </c>
      <c r="D1475" s="2831" t="s">
        <v>3668</v>
      </c>
      <c r="E1475" s="2831" t="s">
        <v>2174</v>
      </c>
    </row>
    <row r="1476" spans="1:5">
      <c r="A1476" s="2831">
        <v>676</v>
      </c>
      <c r="B1476" s="2831" t="s">
        <v>3661</v>
      </c>
      <c r="C1476" s="2831">
        <v>196</v>
      </c>
      <c r="D1476" s="2831" t="s">
        <v>3669</v>
      </c>
      <c r="E1476" s="2831" t="s">
        <v>2166</v>
      </c>
    </row>
    <row r="1477" spans="1:5">
      <c r="A1477" s="2831">
        <v>676</v>
      </c>
      <c r="B1477" s="2831" t="s">
        <v>3661</v>
      </c>
      <c r="C1477" s="2831">
        <v>309</v>
      </c>
      <c r="D1477" s="2831" t="s">
        <v>3670</v>
      </c>
      <c r="E1477" s="2831" t="s">
        <v>2166</v>
      </c>
    </row>
    <row r="1478" spans="1:5">
      <c r="A1478" s="2831">
        <v>676</v>
      </c>
      <c r="B1478" s="2831" t="s">
        <v>3661</v>
      </c>
      <c r="C1478" s="2831">
        <v>192</v>
      </c>
      <c r="D1478" s="2831" t="s">
        <v>3671</v>
      </c>
      <c r="E1478" s="2831" t="s">
        <v>2174</v>
      </c>
    </row>
    <row r="1479" spans="1:5">
      <c r="A1479" s="2831">
        <v>676</v>
      </c>
      <c r="B1479" s="2831" t="s">
        <v>3661</v>
      </c>
      <c r="C1479" s="2831">
        <v>105</v>
      </c>
      <c r="D1479" s="2831" t="s">
        <v>3672</v>
      </c>
      <c r="E1479" s="2831" t="s">
        <v>2166</v>
      </c>
    </row>
    <row r="1480" spans="1:5">
      <c r="A1480" s="2831">
        <v>676</v>
      </c>
      <c r="B1480" s="2831" t="s">
        <v>3661</v>
      </c>
      <c r="C1480" s="2831">
        <v>3550</v>
      </c>
      <c r="D1480" s="2831" t="s">
        <v>3673</v>
      </c>
      <c r="E1480" s="2831" t="s">
        <v>2169</v>
      </c>
    </row>
    <row r="1481" spans="1:5">
      <c r="A1481" s="2831">
        <v>676</v>
      </c>
      <c r="B1481" s="2831" t="s">
        <v>3661</v>
      </c>
      <c r="C1481" s="2831">
        <v>208</v>
      </c>
      <c r="D1481" s="2831" t="s">
        <v>3674</v>
      </c>
      <c r="E1481" s="2831" t="s">
        <v>2166</v>
      </c>
    </row>
    <row r="1482" spans="1:5">
      <c r="A1482" s="2831">
        <v>676</v>
      </c>
      <c r="B1482" s="2831" t="s">
        <v>3661</v>
      </c>
      <c r="C1482" s="2831">
        <v>103</v>
      </c>
      <c r="D1482" s="2831" t="s">
        <v>3675</v>
      </c>
      <c r="E1482" s="2831" t="s">
        <v>2166</v>
      </c>
    </row>
    <row r="1483" spans="1:5">
      <c r="A1483" s="2831">
        <v>676</v>
      </c>
      <c r="B1483" s="2831" t="s">
        <v>3661</v>
      </c>
      <c r="C1483" s="2831">
        <v>117</v>
      </c>
      <c r="D1483" s="2831" t="s">
        <v>3676</v>
      </c>
      <c r="E1483" s="2831" t="s">
        <v>2174</v>
      </c>
    </row>
    <row r="1484" spans="1:5">
      <c r="A1484" s="2831">
        <v>676</v>
      </c>
      <c r="B1484" s="2831" t="s">
        <v>3661</v>
      </c>
      <c r="C1484" s="2831">
        <v>199</v>
      </c>
      <c r="D1484" s="2831" t="s">
        <v>3677</v>
      </c>
      <c r="E1484" s="2831" t="s">
        <v>2174</v>
      </c>
    </row>
    <row r="1485" spans="1:5">
      <c r="A1485" s="2831">
        <v>676</v>
      </c>
      <c r="B1485" s="2831" t="s">
        <v>3661</v>
      </c>
      <c r="C1485" s="2831">
        <v>5050</v>
      </c>
      <c r="D1485" s="2831" t="s">
        <v>3678</v>
      </c>
      <c r="E1485" s="2831" t="s">
        <v>2166</v>
      </c>
    </row>
    <row r="1486" spans="1:5">
      <c r="A1486" s="2831">
        <v>676</v>
      </c>
      <c r="B1486" s="2831" t="s">
        <v>3661</v>
      </c>
      <c r="C1486" s="2831">
        <v>2054</v>
      </c>
      <c r="D1486" s="2831" t="s">
        <v>2240</v>
      </c>
      <c r="E1486" s="2831" t="s">
        <v>2174</v>
      </c>
    </row>
    <row r="1487" spans="1:5">
      <c r="A1487" s="2831">
        <v>676</v>
      </c>
      <c r="B1487" s="2831" t="s">
        <v>3661</v>
      </c>
      <c r="C1487" s="2831">
        <v>108</v>
      </c>
      <c r="D1487" s="2831" t="s">
        <v>3679</v>
      </c>
      <c r="E1487" s="2831" t="s">
        <v>2166</v>
      </c>
    </row>
    <row r="1488" spans="1:5">
      <c r="A1488" s="2831">
        <v>676</v>
      </c>
      <c r="B1488" s="2831" t="s">
        <v>3661</v>
      </c>
      <c r="C1488" s="2831">
        <v>191</v>
      </c>
      <c r="D1488" s="2831" t="s">
        <v>2870</v>
      </c>
      <c r="E1488" s="2831" t="s">
        <v>2174</v>
      </c>
    </row>
    <row r="1489" spans="1:5">
      <c r="A1489" s="2831">
        <v>676</v>
      </c>
      <c r="B1489" s="2831" t="s">
        <v>3661</v>
      </c>
      <c r="C1489" s="2831">
        <v>2052</v>
      </c>
      <c r="D1489" s="2831" t="s">
        <v>3680</v>
      </c>
      <c r="E1489" s="2831" t="s">
        <v>2166</v>
      </c>
    </row>
    <row r="1490" spans="1:5">
      <c r="A1490" s="2831">
        <v>676</v>
      </c>
      <c r="B1490" s="2831" t="s">
        <v>3661</v>
      </c>
      <c r="C1490" s="2831">
        <v>1052</v>
      </c>
      <c r="D1490" s="2831" t="s">
        <v>3681</v>
      </c>
      <c r="E1490" s="2831" t="s">
        <v>2174</v>
      </c>
    </row>
    <row r="1491" spans="1:5">
      <c r="A1491" s="2831">
        <v>676</v>
      </c>
      <c r="B1491" s="2831" t="s">
        <v>3661</v>
      </c>
      <c r="C1491" s="2831">
        <v>3052</v>
      </c>
      <c r="D1491" s="2831" t="s">
        <v>3682</v>
      </c>
      <c r="E1491" s="2831" t="s">
        <v>2166</v>
      </c>
    </row>
    <row r="1492" spans="1:5">
      <c r="A1492" s="2831">
        <v>676</v>
      </c>
      <c r="B1492" s="2831" t="s">
        <v>3661</v>
      </c>
      <c r="C1492" s="2831">
        <v>175</v>
      </c>
      <c r="D1492" s="2831" t="s">
        <v>3683</v>
      </c>
      <c r="E1492" s="2831" t="s">
        <v>2174</v>
      </c>
    </row>
    <row r="1493" spans="1:5">
      <c r="A1493" s="2831">
        <v>676</v>
      </c>
      <c r="B1493" s="2831" t="s">
        <v>3661</v>
      </c>
      <c r="C1493" s="2831">
        <v>1054</v>
      </c>
      <c r="D1493" s="2831" t="s">
        <v>3684</v>
      </c>
      <c r="E1493" s="2831" t="s">
        <v>2174</v>
      </c>
    </row>
    <row r="1494" spans="1:5">
      <c r="A1494" s="2831">
        <v>676</v>
      </c>
      <c r="B1494" s="2831" t="s">
        <v>3661</v>
      </c>
      <c r="C1494" s="2831">
        <v>200</v>
      </c>
      <c r="D1494" s="2831" t="s">
        <v>3685</v>
      </c>
      <c r="E1494" s="2831" t="s">
        <v>2174</v>
      </c>
    </row>
    <row r="1495" spans="1:5">
      <c r="A1495" s="2831">
        <v>676</v>
      </c>
      <c r="B1495" s="2831" t="s">
        <v>3661</v>
      </c>
      <c r="C1495" s="2831">
        <v>195</v>
      </c>
      <c r="D1495" s="2831" t="s">
        <v>3686</v>
      </c>
      <c r="E1495" s="2831" t="s">
        <v>2174</v>
      </c>
    </row>
    <row r="1496" spans="1:5">
      <c r="A1496" s="2831">
        <v>676</v>
      </c>
      <c r="B1496" s="2831" t="s">
        <v>3661</v>
      </c>
      <c r="C1496" s="2831">
        <v>4054</v>
      </c>
      <c r="D1496" s="2831" t="s">
        <v>2766</v>
      </c>
      <c r="E1496" s="2831" t="s">
        <v>2174</v>
      </c>
    </row>
    <row r="1497" spans="1:5">
      <c r="A1497" s="2831">
        <v>676</v>
      </c>
      <c r="B1497" s="2831" t="s">
        <v>3661</v>
      </c>
      <c r="C1497" s="2831">
        <v>5054</v>
      </c>
      <c r="D1497" s="2831" t="s">
        <v>3687</v>
      </c>
      <c r="E1497" s="2831" t="s">
        <v>2174</v>
      </c>
    </row>
    <row r="1498" spans="1:5">
      <c r="A1498" s="2831">
        <v>676</v>
      </c>
      <c r="B1498" s="2831" t="s">
        <v>3661</v>
      </c>
      <c r="C1498" s="2831">
        <v>204</v>
      </c>
      <c r="D1498" s="2831" t="s">
        <v>3688</v>
      </c>
      <c r="E1498" s="2831" t="s">
        <v>2174</v>
      </c>
    </row>
    <row r="1499" spans="1:5">
      <c r="A1499" s="2831">
        <v>676</v>
      </c>
      <c r="B1499" s="2831" t="s">
        <v>3661</v>
      </c>
      <c r="C1499" s="2831">
        <v>3056</v>
      </c>
      <c r="D1499" s="2831" t="s">
        <v>3689</v>
      </c>
      <c r="E1499" s="2831" t="s">
        <v>2166</v>
      </c>
    </row>
    <row r="1500" spans="1:5">
      <c r="A1500" s="2831">
        <v>676</v>
      </c>
      <c r="B1500" s="2831" t="s">
        <v>3661</v>
      </c>
      <c r="C1500" s="2831">
        <v>111</v>
      </c>
      <c r="D1500" s="2831" t="s">
        <v>3690</v>
      </c>
      <c r="E1500" s="2831" t="s">
        <v>2166</v>
      </c>
    </row>
    <row r="1501" spans="1:5">
      <c r="A1501" s="2831">
        <v>676</v>
      </c>
      <c r="B1501" s="2831" t="s">
        <v>3661</v>
      </c>
      <c r="C1501" s="2831">
        <v>4056</v>
      </c>
      <c r="D1501" s="2831" t="s">
        <v>3691</v>
      </c>
      <c r="E1501" s="2831" t="s">
        <v>2174</v>
      </c>
    </row>
    <row r="1502" spans="1:5">
      <c r="A1502" s="2831">
        <v>676</v>
      </c>
      <c r="B1502" s="2831" t="s">
        <v>3661</v>
      </c>
      <c r="C1502" s="2831">
        <v>5056</v>
      </c>
      <c r="D1502" s="2831" t="s">
        <v>3692</v>
      </c>
      <c r="E1502" s="2831" t="s">
        <v>2174</v>
      </c>
    </row>
    <row r="1503" spans="1:5">
      <c r="A1503" s="2831">
        <v>676</v>
      </c>
      <c r="B1503" s="2831" t="s">
        <v>3661</v>
      </c>
      <c r="C1503" s="2831">
        <v>2058</v>
      </c>
      <c r="D1503" s="2831" t="s">
        <v>2796</v>
      </c>
      <c r="E1503" s="2831" t="s">
        <v>2174</v>
      </c>
    </row>
    <row r="1504" spans="1:5">
      <c r="A1504" s="2831">
        <v>677</v>
      </c>
      <c r="B1504" s="2831" t="s">
        <v>3693</v>
      </c>
      <c r="C1504" s="2831">
        <v>188</v>
      </c>
      <c r="D1504" s="2831" t="s">
        <v>3694</v>
      </c>
      <c r="E1504" s="2831" t="s">
        <v>2169</v>
      </c>
    </row>
    <row r="1505" spans="1:5">
      <c r="A1505" s="2831">
        <v>677</v>
      </c>
      <c r="B1505" s="2831" t="s">
        <v>3693</v>
      </c>
      <c r="C1505" s="2831">
        <v>2050</v>
      </c>
      <c r="D1505" s="2831" t="s">
        <v>3695</v>
      </c>
      <c r="E1505" s="2831" t="s">
        <v>2174</v>
      </c>
    </row>
    <row r="1506" spans="1:5">
      <c r="A1506" s="2831">
        <v>677</v>
      </c>
      <c r="B1506" s="2831" t="s">
        <v>3693</v>
      </c>
      <c r="C1506" s="2831">
        <v>173</v>
      </c>
      <c r="D1506" s="2831" t="s">
        <v>3696</v>
      </c>
      <c r="E1506" s="2831" t="s">
        <v>2174</v>
      </c>
    </row>
    <row r="1507" spans="1:5">
      <c r="A1507" s="2831">
        <v>678</v>
      </c>
      <c r="B1507" s="2831" t="s">
        <v>3697</v>
      </c>
      <c r="C1507" s="2831">
        <v>107</v>
      </c>
      <c r="D1507" s="2831" t="s">
        <v>3698</v>
      </c>
      <c r="E1507" s="2831" t="s">
        <v>2169</v>
      </c>
    </row>
    <row r="1508" spans="1:5">
      <c r="A1508" s="2831">
        <v>678</v>
      </c>
      <c r="B1508" s="2831" t="s">
        <v>3697</v>
      </c>
      <c r="C1508" s="2831">
        <v>104</v>
      </c>
      <c r="D1508" s="2831" t="s">
        <v>3699</v>
      </c>
      <c r="E1508" s="2831" t="s">
        <v>2174</v>
      </c>
    </row>
    <row r="1509" spans="1:5">
      <c r="A1509" s="2831">
        <v>678</v>
      </c>
      <c r="B1509" s="2831" t="s">
        <v>3697</v>
      </c>
      <c r="C1509" s="2831">
        <v>197</v>
      </c>
      <c r="D1509" s="2831" t="s">
        <v>3700</v>
      </c>
      <c r="E1509" s="2831" t="s">
        <v>2166</v>
      </c>
    </row>
    <row r="1510" spans="1:5">
      <c r="A1510" s="2831">
        <v>678</v>
      </c>
      <c r="B1510" s="2831" t="s">
        <v>3697</v>
      </c>
      <c r="C1510" s="2831">
        <v>209</v>
      </c>
      <c r="D1510" s="2831" t="s">
        <v>3701</v>
      </c>
      <c r="E1510" s="2831" t="s">
        <v>2166</v>
      </c>
    </row>
    <row r="1511" spans="1:5">
      <c r="A1511" s="2831">
        <v>678</v>
      </c>
      <c r="B1511" s="2831" t="s">
        <v>3697</v>
      </c>
      <c r="C1511" s="2831">
        <v>191</v>
      </c>
      <c r="D1511" s="2831" t="s">
        <v>3702</v>
      </c>
      <c r="E1511" s="2831" t="s">
        <v>2174</v>
      </c>
    </row>
    <row r="1512" spans="1:5">
      <c r="A1512" s="2831">
        <v>678</v>
      </c>
      <c r="B1512" s="2831" t="s">
        <v>3697</v>
      </c>
      <c r="C1512" s="2831">
        <v>310</v>
      </c>
      <c r="D1512" s="2831" t="s">
        <v>3703</v>
      </c>
      <c r="E1512" s="2831" t="s">
        <v>2174</v>
      </c>
    </row>
    <row r="1513" spans="1:5">
      <c r="A1513" s="2831">
        <v>678</v>
      </c>
      <c r="B1513" s="2831" t="s">
        <v>3697</v>
      </c>
      <c r="C1513" s="2831">
        <v>2550</v>
      </c>
      <c r="D1513" s="2831" t="s">
        <v>3704</v>
      </c>
      <c r="E1513" s="2831" t="s">
        <v>2169</v>
      </c>
    </row>
    <row r="1514" spans="1:5">
      <c r="A1514" s="2831">
        <v>678</v>
      </c>
      <c r="B1514" s="2831" t="s">
        <v>3697</v>
      </c>
      <c r="C1514" s="2831">
        <v>3050</v>
      </c>
      <c r="D1514" s="2831" t="s">
        <v>3705</v>
      </c>
      <c r="E1514" s="2831" t="s">
        <v>2169</v>
      </c>
    </row>
    <row r="1515" spans="1:5">
      <c r="A1515" s="2831">
        <v>678</v>
      </c>
      <c r="B1515" s="2831" t="s">
        <v>3697</v>
      </c>
      <c r="C1515" s="2831">
        <v>4050</v>
      </c>
      <c r="D1515" s="2831" t="s">
        <v>3706</v>
      </c>
      <c r="E1515" s="2831" t="s">
        <v>2166</v>
      </c>
    </row>
    <row r="1516" spans="1:5">
      <c r="A1516" s="2831">
        <v>678</v>
      </c>
      <c r="B1516" s="2831" t="s">
        <v>3697</v>
      </c>
      <c r="C1516" s="2831">
        <v>101</v>
      </c>
      <c r="D1516" s="2831" t="s">
        <v>3707</v>
      </c>
      <c r="E1516" s="2831" t="s">
        <v>2166</v>
      </c>
    </row>
    <row r="1517" spans="1:5">
      <c r="A1517" s="2831">
        <v>678</v>
      </c>
      <c r="B1517" s="2831" t="s">
        <v>3697</v>
      </c>
      <c r="C1517" s="2831">
        <v>297</v>
      </c>
      <c r="D1517" s="2831" t="s">
        <v>3708</v>
      </c>
      <c r="E1517" s="2831" t="s">
        <v>2166</v>
      </c>
    </row>
    <row r="1518" spans="1:5">
      <c r="A1518" s="2831">
        <v>679</v>
      </c>
      <c r="B1518" s="2831" t="s">
        <v>3709</v>
      </c>
      <c r="C1518" s="2831">
        <v>108</v>
      </c>
      <c r="D1518" s="2831" t="s">
        <v>3710</v>
      </c>
      <c r="E1518" s="2831" t="s">
        <v>2166</v>
      </c>
    </row>
    <row r="1519" spans="1:5">
      <c r="A1519" s="2831">
        <v>679</v>
      </c>
      <c r="B1519" s="2831" t="s">
        <v>3709</v>
      </c>
      <c r="C1519" s="2831">
        <v>201</v>
      </c>
      <c r="D1519" s="2831" t="s">
        <v>3711</v>
      </c>
      <c r="E1519" s="2831" t="s">
        <v>2166</v>
      </c>
    </row>
    <row r="1520" spans="1:5">
      <c r="A1520" s="2831">
        <v>679</v>
      </c>
      <c r="B1520" s="2831" t="s">
        <v>3709</v>
      </c>
      <c r="C1520" s="2831">
        <v>195</v>
      </c>
      <c r="D1520" s="2831" t="s">
        <v>3712</v>
      </c>
      <c r="E1520" s="2831" t="s">
        <v>2166</v>
      </c>
    </row>
    <row r="1521" spans="1:5">
      <c r="A1521" s="2831">
        <v>679</v>
      </c>
      <c r="B1521" s="2831" t="s">
        <v>3709</v>
      </c>
      <c r="C1521" s="2831">
        <v>100</v>
      </c>
      <c r="D1521" s="2831" t="s">
        <v>3713</v>
      </c>
      <c r="E1521" s="2831" t="s">
        <v>2166</v>
      </c>
    </row>
    <row r="1522" spans="1:5">
      <c r="A1522" s="2831">
        <v>680</v>
      </c>
      <c r="B1522" s="2831" t="s">
        <v>3714</v>
      </c>
      <c r="C1522" s="2831">
        <v>175</v>
      </c>
      <c r="D1522" s="2831" t="s">
        <v>3715</v>
      </c>
      <c r="E1522" s="2831" t="s">
        <v>2166</v>
      </c>
    </row>
    <row r="1523" spans="1:5">
      <c r="A1523" s="2831">
        <v>680</v>
      </c>
      <c r="B1523" s="2831" t="s">
        <v>3714</v>
      </c>
      <c r="C1523" s="2831">
        <v>199</v>
      </c>
      <c r="D1523" s="2831" t="s">
        <v>3716</v>
      </c>
      <c r="E1523" s="2831" t="s">
        <v>2169</v>
      </c>
    </row>
    <row r="1524" spans="1:5">
      <c r="A1524" s="2831">
        <v>680</v>
      </c>
      <c r="B1524" s="2831" t="s">
        <v>3714</v>
      </c>
      <c r="C1524" s="2831">
        <v>111</v>
      </c>
      <c r="D1524" s="2831" t="s">
        <v>3717</v>
      </c>
      <c r="E1524" s="2831" t="s">
        <v>2166</v>
      </c>
    </row>
    <row r="1525" spans="1:5">
      <c r="A1525" s="2831">
        <v>680</v>
      </c>
      <c r="B1525" s="2831" t="s">
        <v>3714</v>
      </c>
      <c r="C1525" s="2831">
        <v>105</v>
      </c>
      <c r="D1525" s="2831" t="s">
        <v>3718</v>
      </c>
      <c r="E1525" s="2831" t="s">
        <v>2169</v>
      </c>
    </row>
    <row r="1526" spans="1:5">
      <c r="A1526" s="2831">
        <v>779</v>
      </c>
      <c r="B1526" s="2831" t="s">
        <v>3719</v>
      </c>
      <c r="C1526" s="2831">
        <v>107</v>
      </c>
      <c r="D1526" s="2831" t="s">
        <v>3720</v>
      </c>
      <c r="E1526" s="2831" t="s">
        <v>2169</v>
      </c>
    </row>
    <row r="1527" spans="1:5">
      <c r="A1527" s="2831">
        <v>779</v>
      </c>
      <c r="B1527" s="2831" t="s">
        <v>3719</v>
      </c>
      <c r="C1527" s="2831">
        <v>3050</v>
      </c>
      <c r="D1527" s="2831" t="s">
        <v>3721</v>
      </c>
      <c r="E1527" s="2831" t="s">
        <v>2166</v>
      </c>
    </row>
    <row r="1528" spans="1:5">
      <c r="A1528" s="2831">
        <v>779</v>
      </c>
      <c r="B1528" s="2831" t="s">
        <v>3719</v>
      </c>
      <c r="C1528" s="2831">
        <v>174</v>
      </c>
      <c r="D1528" s="2831" t="s">
        <v>3722</v>
      </c>
      <c r="E1528" s="2831" t="s">
        <v>2169</v>
      </c>
    </row>
    <row r="1529" spans="1:5">
      <c r="A1529" s="2831">
        <v>779</v>
      </c>
      <c r="B1529" s="2831" t="s">
        <v>3719</v>
      </c>
      <c r="C1529" s="2831">
        <v>101</v>
      </c>
      <c r="D1529" s="2831" t="s">
        <v>3723</v>
      </c>
      <c r="E1529" s="2831" t="s">
        <v>2174</v>
      </c>
    </row>
    <row r="1530" spans="1:5">
      <c r="A1530" s="2831">
        <v>681</v>
      </c>
      <c r="B1530" s="2831" t="s">
        <v>3724</v>
      </c>
      <c r="C1530" s="2831">
        <v>1050</v>
      </c>
      <c r="D1530" s="2831" t="s">
        <v>3725</v>
      </c>
      <c r="E1530" s="2831" t="s">
        <v>2169</v>
      </c>
    </row>
    <row r="1531" spans="1:5">
      <c r="A1531" s="2831">
        <v>681</v>
      </c>
      <c r="B1531" s="2831" t="s">
        <v>3724</v>
      </c>
      <c r="C1531" s="2831">
        <v>196</v>
      </c>
      <c r="D1531" s="2831" t="s">
        <v>3726</v>
      </c>
      <c r="E1531" s="2831" t="s">
        <v>2174</v>
      </c>
    </row>
    <row r="1532" spans="1:5">
      <c r="A1532" s="2831">
        <v>681</v>
      </c>
      <c r="B1532" s="2831" t="s">
        <v>3724</v>
      </c>
      <c r="C1532" s="2831">
        <v>397</v>
      </c>
      <c r="D1532" s="2831" t="s">
        <v>3727</v>
      </c>
      <c r="E1532" s="2831" t="s">
        <v>2169</v>
      </c>
    </row>
    <row r="1533" spans="1:5">
      <c r="A1533" s="2831">
        <v>681</v>
      </c>
      <c r="B1533" s="2831" t="s">
        <v>3724</v>
      </c>
      <c r="C1533" s="2831">
        <v>1550</v>
      </c>
      <c r="D1533" s="2831" t="s">
        <v>3728</v>
      </c>
      <c r="E1533" s="2831" t="s">
        <v>2169</v>
      </c>
    </row>
    <row r="1534" spans="1:5">
      <c r="A1534" s="2831">
        <v>681</v>
      </c>
      <c r="B1534" s="2831" t="s">
        <v>3724</v>
      </c>
      <c r="C1534" s="2831">
        <v>3550</v>
      </c>
      <c r="D1534" s="2831" t="s">
        <v>3729</v>
      </c>
      <c r="E1534" s="2831" t="s">
        <v>2169</v>
      </c>
    </row>
    <row r="1535" spans="1:5">
      <c r="A1535" s="2831">
        <v>682</v>
      </c>
      <c r="B1535" s="2831" t="s">
        <v>3730</v>
      </c>
      <c r="C1535" s="2831">
        <v>1050</v>
      </c>
      <c r="D1535" s="2831" t="s">
        <v>3731</v>
      </c>
      <c r="E1535" s="2831" t="s">
        <v>2166</v>
      </c>
    </row>
    <row r="1536" spans="1:5">
      <c r="A1536" s="2831">
        <v>682</v>
      </c>
      <c r="B1536" s="2831" t="s">
        <v>3730</v>
      </c>
      <c r="C1536" s="2831">
        <v>201</v>
      </c>
      <c r="D1536" s="2831" t="s">
        <v>3732</v>
      </c>
      <c r="E1536" s="2831" t="s">
        <v>2166</v>
      </c>
    </row>
    <row r="1537" spans="1:5">
      <c r="A1537" s="2831">
        <v>682</v>
      </c>
      <c r="B1537" s="2831" t="s">
        <v>3730</v>
      </c>
      <c r="C1537" s="2831">
        <v>101</v>
      </c>
      <c r="D1537" s="2831" t="s">
        <v>3733</v>
      </c>
      <c r="E1537" s="2831" t="s">
        <v>2166</v>
      </c>
    </row>
    <row r="1538" spans="1:5">
      <c r="A1538" s="2831">
        <v>683</v>
      </c>
      <c r="B1538" s="2831" t="s">
        <v>3734</v>
      </c>
      <c r="C1538" s="2831">
        <v>197</v>
      </c>
      <c r="D1538" s="2831" t="s">
        <v>3735</v>
      </c>
      <c r="E1538" s="2831" t="s">
        <v>2166</v>
      </c>
    </row>
    <row r="1539" spans="1:5">
      <c r="A1539" s="2831">
        <v>683</v>
      </c>
      <c r="B1539" s="2831" t="s">
        <v>3734</v>
      </c>
      <c r="C1539" s="2831">
        <v>201</v>
      </c>
      <c r="D1539" s="2831" t="s">
        <v>3736</v>
      </c>
      <c r="E1539" s="2831" t="s">
        <v>2174</v>
      </c>
    </row>
    <row r="1540" spans="1:5">
      <c r="A1540" s="2831">
        <v>683</v>
      </c>
      <c r="B1540" s="2831" t="s">
        <v>3734</v>
      </c>
      <c r="C1540" s="2831">
        <v>101</v>
      </c>
      <c r="D1540" s="2831" t="s">
        <v>3737</v>
      </c>
      <c r="E1540" s="2831" t="s">
        <v>2166</v>
      </c>
    </row>
    <row r="1541" spans="1:5">
      <c r="A1541" s="2831">
        <v>684</v>
      </c>
      <c r="B1541" s="2831" t="s">
        <v>3738</v>
      </c>
      <c r="C1541" s="2831">
        <v>101</v>
      </c>
      <c r="D1541" s="2831" t="s">
        <v>3739</v>
      </c>
      <c r="E1541" s="2831" t="s">
        <v>2174</v>
      </c>
    </row>
    <row r="1542" spans="1:5">
      <c r="A1542" s="2831">
        <v>684</v>
      </c>
      <c r="B1542" s="2831" t="s">
        <v>3738</v>
      </c>
      <c r="C1542" s="2831">
        <v>199</v>
      </c>
      <c r="D1542" s="2831" t="s">
        <v>3740</v>
      </c>
      <c r="E1542" s="2831" t="s">
        <v>2174</v>
      </c>
    </row>
    <row r="1543" spans="1:5">
      <c r="A1543" s="2831">
        <v>684</v>
      </c>
      <c r="B1543" s="2831" t="s">
        <v>3738</v>
      </c>
      <c r="C1543" s="2831">
        <v>1550</v>
      </c>
      <c r="D1543" s="2831" t="s">
        <v>3741</v>
      </c>
      <c r="E1543" s="2831" t="s">
        <v>2166</v>
      </c>
    </row>
    <row r="1544" spans="1:5">
      <c r="A1544" s="2831">
        <v>684</v>
      </c>
      <c r="B1544" s="2831" t="s">
        <v>3738</v>
      </c>
      <c r="C1544" s="2831">
        <v>106</v>
      </c>
      <c r="D1544" s="2831" t="s">
        <v>3742</v>
      </c>
      <c r="E1544" s="2831" t="s">
        <v>2174</v>
      </c>
    </row>
    <row r="1545" spans="1:5">
      <c r="A1545" s="2831">
        <v>684</v>
      </c>
      <c r="B1545" s="2831" t="s">
        <v>3738</v>
      </c>
      <c r="C1545" s="2831">
        <v>192</v>
      </c>
      <c r="D1545" s="2831" t="s">
        <v>3743</v>
      </c>
      <c r="E1545" s="2831" t="s">
        <v>2166</v>
      </c>
    </row>
    <row r="1546" spans="1:5">
      <c r="A1546" s="2831">
        <v>684</v>
      </c>
      <c r="B1546" s="2831" t="s">
        <v>3738</v>
      </c>
      <c r="C1546" s="2831">
        <v>102</v>
      </c>
      <c r="D1546" s="2831" t="s">
        <v>3744</v>
      </c>
      <c r="E1546" s="2831" t="s">
        <v>2166</v>
      </c>
    </row>
    <row r="1547" spans="1:5">
      <c r="A1547" s="2831">
        <v>684</v>
      </c>
      <c r="B1547" s="2831" t="s">
        <v>3738</v>
      </c>
      <c r="C1547" s="2831">
        <v>114</v>
      </c>
      <c r="D1547" s="2831" t="s">
        <v>3745</v>
      </c>
      <c r="E1547" s="2831" t="s">
        <v>2174</v>
      </c>
    </row>
    <row r="1548" spans="1:5">
      <c r="A1548" s="2831">
        <v>685</v>
      </c>
      <c r="B1548" s="2831" t="s">
        <v>3746</v>
      </c>
      <c r="C1548" s="2831">
        <v>105</v>
      </c>
      <c r="D1548" s="2831" t="s">
        <v>3747</v>
      </c>
      <c r="E1548" s="2831" t="s">
        <v>2169</v>
      </c>
    </row>
    <row r="1549" spans="1:5">
      <c r="A1549" s="2831">
        <v>685</v>
      </c>
      <c r="B1549" s="2831" t="s">
        <v>3746</v>
      </c>
      <c r="C1549" s="2831">
        <v>175</v>
      </c>
      <c r="D1549" s="2831" t="s">
        <v>3748</v>
      </c>
      <c r="E1549" s="2831" t="s">
        <v>2169</v>
      </c>
    </row>
    <row r="1550" spans="1:5">
      <c r="A1550" s="2831">
        <v>685</v>
      </c>
      <c r="B1550" s="2831" t="s">
        <v>3746</v>
      </c>
      <c r="C1550" s="2831">
        <v>199</v>
      </c>
      <c r="D1550" s="2831" t="s">
        <v>3749</v>
      </c>
      <c r="E1550" s="2831" t="s">
        <v>2166</v>
      </c>
    </row>
    <row r="1551" spans="1:5">
      <c r="A1551" s="2831">
        <v>685</v>
      </c>
      <c r="B1551" s="2831" t="s">
        <v>3746</v>
      </c>
      <c r="C1551" s="2831">
        <v>205</v>
      </c>
      <c r="D1551" s="2831" t="s">
        <v>3750</v>
      </c>
      <c r="E1551" s="2831" t="s">
        <v>2169</v>
      </c>
    </row>
    <row r="1552" spans="1:5">
      <c r="A1552" s="2831">
        <v>686</v>
      </c>
      <c r="B1552" s="2831" t="s">
        <v>3751</v>
      </c>
      <c r="C1552" s="2831">
        <v>111</v>
      </c>
      <c r="D1552" s="2831" t="s">
        <v>3752</v>
      </c>
      <c r="E1552" s="2831" t="s">
        <v>2174</v>
      </c>
    </row>
    <row r="1553" spans="1:5">
      <c r="A1553" s="2831">
        <v>686</v>
      </c>
      <c r="B1553" s="2831" t="s">
        <v>3751</v>
      </c>
      <c r="C1553" s="2831">
        <v>201</v>
      </c>
      <c r="D1553" s="2831" t="s">
        <v>3753</v>
      </c>
      <c r="E1553" s="2831" t="s">
        <v>2174</v>
      </c>
    </row>
    <row r="1554" spans="1:5">
      <c r="A1554" s="2831">
        <v>686</v>
      </c>
      <c r="B1554" s="2831" t="s">
        <v>3751</v>
      </c>
      <c r="C1554" s="2831">
        <v>101</v>
      </c>
      <c r="D1554" s="2831" t="s">
        <v>3754</v>
      </c>
      <c r="E1554" s="2831" t="s">
        <v>2174</v>
      </c>
    </row>
    <row r="1555" spans="1:5">
      <c r="A1555" s="2831">
        <v>687</v>
      </c>
      <c r="B1555" s="2831" t="s">
        <v>3755</v>
      </c>
      <c r="C1555" s="2831">
        <v>105</v>
      </c>
      <c r="D1555" s="2831" t="s">
        <v>3756</v>
      </c>
      <c r="E1555" s="2831" t="s">
        <v>2174</v>
      </c>
    </row>
    <row r="1556" spans="1:5">
      <c r="A1556" s="2831">
        <v>687</v>
      </c>
      <c r="B1556" s="2831" t="s">
        <v>3755</v>
      </c>
      <c r="C1556" s="2831">
        <v>197</v>
      </c>
      <c r="D1556" s="2831" t="s">
        <v>3757</v>
      </c>
      <c r="E1556" s="2831" t="s">
        <v>2169</v>
      </c>
    </row>
    <row r="1557" spans="1:5">
      <c r="A1557" s="2831">
        <v>687</v>
      </c>
      <c r="B1557" s="2831" t="s">
        <v>3755</v>
      </c>
      <c r="C1557" s="2831">
        <v>297</v>
      </c>
      <c r="D1557" s="2831" t="s">
        <v>3758</v>
      </c>
      <c r="E1557" s="2831" t="s">
        <v>2174</v>
      </c>
    </row>
    <row r="1558" spans="1:5">
      <c r="A1558" s="2831">
        <v>687</v>
      </c>
      <c r="B1558" s="2831" t="s">
        <v>3755</v>
      </c>
      <c r="C1558" s="2831">
        <v>104</v>
      </c>
      <c r="D1558" s="2831" t="s">
        <v>3759</v>
      </c>
      <c r="E1558" s="2831" t="s">
        <v>2174</v>
      </c>
    </row>
    <row r="1559" spans="1:5">
      <c r="A1559" s="2831">
        <v>687</v>
      </c>
      <c r="B1559" s="2831" t="s">
        <v>3755</v>
      </c>
      <c r="C1559" s="2831">
        <v>201</v>
      </c>
      <c r="D1559" s="2831" t="s">
        <v>3760</v>
      </c>
      <c r="E1559" s="2831" t="s">
        <v>2174</v>
      </c>
    </row>
    <row r="1560" spans="1:5">
      <c r="A1560" s="2831">
        <v>687</v>
      </c>
      <c r="B1560" s="2831" t="s">
        <v>3755</v>
      </c>
      <c r="C1560" s="2831">
        <v>101</v>
      </c>
      <c r="D1560" s="2831" t="s">
        <v>3761</v>
      </c>
      <c r="E1560" s="2831" t="s">
        <v>2174</v>
      </c>
    </row>
    <row r="1561" spans="1:5">
      <c r="A1561" s="2831">
        <v>687</v>
      </c>
      <c r="B1561" s="2831" t="s">
        <v>3755</v>
      </c>
      <c r="C1561" s="2831">
        <v>110</v>
      </c>
      <c r="D1561" s="2831" t="s">
        <v>3762</v>
      </c>
      <c r="E1561" s="2831" t="s">
        <v>2166</v>
      </c>
    </row>
    <row r="1562" spans="1:5">
      <c r="A1562" s="2831">
        <v>687</v>
      </c>
      <c r="B1562" s="2831" t="s">
        <v>3755</v>
      </c>
      <c r="C1562" s="2831">
        <v>2054</v>
      </c>
      <c r="D1562" s="2831" t="s">
        <v>3763</v>
      </c>
      <c r="E1562" s="2831" t="s">
        <v>2169</v>
      </c>
    </row>
    <row r="1563" spans="1:5">
      <c r="A1563" s="2831">
        <v>688</v>
      </c>
      <c r="B1563" s="2831" t="s">
        <v>3764</v>
      </c>
      <c r="C1563" s="2831">
        <v>197</v>
      </c>
      <c r="D1563" s="2831" t="s">
        <v>3765</v>
      </c>
      <c r="E1563" s="2831" t="s">
        <v>2174</v>
      </c>
    </row>
    <row r="1564" spans="1:5">
      <c r="A1564" s="2831">
        <v>688</v>
      </c>
      <c r="B1564" s="2831" t="s">
        <v>3764</v>
      </c>
      <c r="C1564" s="2831">
        <v>103</v>
      </c>
      <c r="D1564" s="2831" t="s">
        <v>3766</v>
      </c>
      <c r="E1564" s="2831" t="s">
        <v>2169</v>
      </c>
    </row>
    <row r="1565" spans="1:5">
      <c r="A1565" s="2831">
        <v>688</v>
      </c>
      <c r="B1565" s="2831" t="s">
        <v>3764</v>
      </c>
      <c r="C1565" s="2831">
        <v>193</v>
      </c>
      <c r="D1565" s="2831" t="s">
        <v>3767</v>
      </c>
      <c r="E1565" s="2831" t="s">
        <v>2166</v>
      </c>
    </row>
    <row r="1566" spans="1:5">
      <c r="A1566" s="2831">
        <v>688</v>
      </c>
      <c r="B1566" s="2831" t="s">
        <v>3764</v>
      </c>
      <c r="C1566" s="2831">
        <v>114</v>
      </c>
      <c r="D1566" s="2831" t="s">
        <v>3768</v>
      </c>
      <c r="E1566" s="2831" t="s">
        <v>2166</v>
      </c>
    </row>
    <row r="1567" spans="1:5">
      <c r="A1567" s="2831">
        <v>688</v>
      </c>
      <c r="B1567" s="2831" t="s">
        <v>3764</v>
      </c>
      <c r="C1567" s="2831">
        <v>101</v>
      </c>
      <c r="D1567" s="2831" t="s">
        <v>3769</v>
      </c>
      <c r="E1567" s="2831" t="s">
        <v>2166</v>
      </c>
    </row>
    <row r="1568" spans="1:5">
      <c r="A1568" s="2831">
        <v>688</v>
      </c>
      <c r="B1568" s="2831" t="s">
        <v>3764</v>
      </c>
      <c r="C1568" s="2831">
        <v>187</v>
      </c>
      <c r="D1568" s="2831" t="s">
        <v>3770</v>
      </c>
      <c r="E1568" s="2831" t="s">
        <v>2166</v>
      </c>
    </row>
    <row r="1569" spans="1:5">
      <c r="A1569" s="2831">
        <v>688</v>
      </c>
      <c r="B1569" s="2831" t="s">
        <v>3764</v>
      </c>
      <c r="C1569" s="2831">
        <v>209</v>
      </c>
      <c r="D1569" s="2831" t="s">
        <v>3771</v>
      </c>
      <c r="E1569" s="2831" t="s">
        <v>2174</v>
      </c>
    </row>
    <row r="1570" spans="1:5">
      <c r="A1570" s="2831">
        <v>688</v>
      </c>
      <c r="B1570" s="2831" t="s">
        <v>3764</v>
      </c>
      <c r="C1570" s="2831">
        <v>393</v>
      </c>
      <c r="D1570" s="2831" t="s">
        <v>3772</v>
      </c>
      <c r="E1570" s="2831" t="s">
        <v>2166</v>
      </c>
    </row>
    <row r="1571" spans="1:5">
      <c r="A1571" s="2831">
        <v>689</v>
      </c>
      <c r="B1571" s="2831" t="s">
        <v>2111</v>
      </c>
      <c r="C1571" s="2831">
        <v>105</v>
      </c>
      <c r="D1571" s="2831" t="s">
        <v>3773</v>
      </c>
      <c r="E1571" s="2831" t="s">
        <v>2169</v>
      </c>
    </row>
    <row r="1572" spans="1:5">
      <c r="A1572" s="2831">
        <v>689</v>
      </c>
      <c r="B1572" s="2831" t="s">
        <v>2111</v>
      </c>
      <c r="C1572" s="2831">
        <v>180</v>
      </c>
      <c r="D1572" s="2831" t="s">
        <v>3774</v>
      </c>
      <c r="E1572" s="2831" t="s">
        <v>2166</v>
      </c>
    </row>
    <row r="1573" spans="1:5">
      <c r="A1573" s="2831">
        <v>689</v>
      </c>
      <c r="B1573" s="2831" t="s">
        <v>2111</v>
      </c>
      <c r="C1573" s="2831">
        <v>196</v>
      </c>
      <c r="D1573" s="2831" t="s">
        <v>3775</v>
      </c>
      <c r="E1573" s="2831" t="s">
        <v>2169</v>
      </c>
    </row>
    <row r="1574" spans="1:5">
      <c r="A1574" s="2831">
        <v>689</v>
      </c>
      <c r="B1574" s="2831" t="s">
        <v>2111</v>
      </c>
      <c r="C1574" s="2831">
        <v>189</v>
      </c>
      <c r="D1574" s="2831" t="s">
        <v>3776</v>
      </c>
      <c r="E1574" s="2831" t="s">
        <v>2169</v>
      </c>
    </row>
    <row r="1575" spans="1:5">
      <c r="A1575" s="2831">
        <v>689</v>
      </c>
      <c r="B1575" s="2831" t="s">
        <v>2111</v>
      </c>
      <c r="C1575" s="2831">
        <v>197</v>
      </c>
      <c r="D1575" s="2831" t="s">
        <v>3777</v>
      </c>
      <c r="E1575" s="2831" t="s">
        <v>2169</v>
      </c>
    </row>
    <row r="1576" spans="1:5">
      <c r="A1576" s="2831">
        <v>689</v>
      </c>
      <c r="B1576" s="2831" t="s">
        <v>2111</v>
      </c>
      <c r="C1576" s="2831">
        <v>192</v>
      </c>
      <c r="D1576" s="2831" t="s">
        <v>3778</v>
      </c>
      <c r="E1576" s="2831" t="s">
        <v>2169</v>
      </c>
    </row>
    <row r="1577" spans="1:5">
      <c r="A1577" s="2831">
        <v>689</v>
      </c>
      <c r="B1577" s="2831" t="s">
        <v>2111</v>
      </c>
      <c r="C1577" s="2831">
        <v>102</v>
      </c>
      <c r="D1577" s="2831" t="s">
        <v>2550</v>
      </c>
      <c r="E1577" s="2831" t="s">
        <v>2169</v>
      </c>
    </row>
    <row r="1578" spans="1:5">
      <c r="A1578" s="2831">
        <v>689</v>
      </c>
      <c r="B1578" s="2831" t="s">
        <v>2111</v>
      </c>
      <c r="C1578" s="2831">
        <v>183</v>
      </c>
      <c r="D1578" s="2831" t="s">
        <v>3571</v>
      </c>
      <c r="E1578" s="2831" t="s">
        <v>2169</v>
      </c>
    </row>
    <row r="1579" spans="1:5">
      <c r="A1579" s="2831">
        <v>689</v>
      </c>
      <c r="B1579" s="2831" t="s">
        <v>2111</v>
      </c>
      <c r="C1579" s="2831">
        <v>101</v>
      </c>
      <c r="D1579" s="2831" t="s">
        <v>3779</v>
      </c>
      <c r="E1579" s="2831" t="s">
        <v>2169</v>
      </c>
    </row>
    <row r="1580" spans="1:5">
      <c r="A1580" s="2831">
        <v>689</v>
      </c>
      <c r="B1580" s="2831" t="s">
        <v>2111</v>
      </c>
      <c r="C1580" s="2831">
        <v>195</v>
      </c>
      <c r="D1580" s="2831" t="s">
        <v>3780</v>
      </c>
      <c r="E1580" s="2831" t="s">
        <v>2169</v>
      </c>
    </row>
    <row r="1581" spans="1:5">
      <c r="A1581" s="2831">
        <v>689</v>
      </c>
      <c r="B1581" s="2831" t="s">
        <v>2111</v>
      </c>
      <c r="C1581" s="2831">
        <v>194</v>
      </c>
      <c r="D1581" s="2831" t="s">
        <v>3781</v>
      </c>
      <c r="E1581" s="2831" t="s">
        <v>2174</v>
      </c>
    </row>
    <row r="1582" spans="1:5">
      <c r="A1582" s="2831">
        <v>689</v>
      </c>
      <c r="B1582" s="2831" t="s">
        <v>2111</v>
      </c>
      <c r="C1582" s="2831">
        <v>100</v>
      </c>
      <c r="D1582" s="2831" t="s">
        <v>3782</v>
      </c>
      <c r="E1582" s="2831" t="s">
        <v>2166</v>
      </c>
    </row>
    <row r="1583" spans="1:5">
      <c r="A1583" s="2831">
        <v>690</v>
      </c>
      <c r="B1583" s="2831" t="s">
        <v>3783</v>
      </c>
      <c r="C1583" s="2831">
        <v>176</v>
      </c>
      <c r="D1583" s="2831" t="s">
        <v>3784</v>
      </c>
      <c r="E1583" s="2831" t="s">
        <v>2166</v>
      </c>
    </row>
    <row r="1584" spans="1:5">
      <c r="A1584" s="2831">
        <v>690</v>
      </c>
      <c r="B1584" s="2831" t="s">
        <v>3783</v>
      </c>
      <c r="C1584" s="2831">
        <v>110</v>
      </c>
      <c r="D1584" s="2831" t="s">
        <v>3785</v>
      </c>
      <c r="E1584" s="2831" t="s">
        <v>2174</v>
      </c>
    </row>
    <row r="1585" spans="1:5">
      <c r="A1585" s="2831">
        <v>690</v>
      </c>
      <c r="B1585" s="2831" t="s">
        <v>3783</v>
      </c>
      <c r="C1585" s="2831">
        <v>101</v>
      </c>
      <c r="D1585" s="2831" t="s">
        <v>3786</v>
      </c>
      <c r="E1585" s="2831" t="s">
        <v>2166</v>
      </c>
    </row>
    <row r="1586" spans="1:5">
      <c r="A1586" s="2831">
        <v>691</v>
      </c>
      <c r="B1586" s="2831" t="s">
        <v>3787</v>
      </c>
      <c r="C1586" s="2831">
        <v>205</v>
      </c>
      <c r="D1586" s="2831" t="s">
        <v>3788</v>
      </c>
      <c r="E1586" s="2831" t="s">
        <v>2174</v>
      </c>
    </row>
    <row r="1587" spans="1:5">
      <c r="A1587" s="2831">
        <v>691</v>
      </c>
      <c r="B1587" s="2831" t="s">
        <v>3787</v>
      </c>
      <c r="C1587" s="2831">
        <v>288</v>
      </c>
      <c r="D1587" s="2831" t="s">
        <v>3789</v>
      </c>
      <c r="E1587" s="2831" t="s">
        <v>2169</v>
      </c>
    </row>
    <row r="1588" spans="1:5">
      <c r="A1588" s="2831">
        <v>691</v>
      </c>
      <c r="B1588" s="2831" t="s">
        <v>3787</v>
      </c>
      <c r="C1588" s="2831">
        <v>289</v>
      </c>
      <c r="D1588" s="2831" t="s">
        <v>3790</v>
      </c>
      <c r="E1588" s="2831" t="s">
        <v>2169</v>
      </c>
    </row>
    <row r="1589" spans="1:5">
      <c r="A1589" s="2831">
        <v>691</v>
      </c>
      <c r="B1589" s="2831" t="s">
        <v>3787</v>
      </c>
      <c r="C1589" s="2831">
        <v>100</v>
      </c>
      <c r="D1589" s="2831" t="s">
        <v>3791</v>
      </c>
      <c r="E1589" s="2831" t="s">
        <v>2169</v>
      </c>
    </row>
    <row r="1590" spans="1:5">
      <c r="A1590" s="2831">
        <v>692</v>
      </c>
      <c r="B1590" s="2831" t="s">
        <v>3792</v>
      </c>
      <c r="C1590" s="2831">
        <v>1050</v>
      </c>
      <c r="D1590" s="2831" t="s">
        <v>3793</v>
      </c>
      <c r="E1590" s="2831" t="s">
        <v>2174</v>
      </c>
    </row>
    <row r="1591" spans="1:5">
      <c r="A1591" s="2831">
        <v>692</v>
      </c>
      <c r="B1591" s="2831" t="s">
        <v>3792</v>
      </c>
      <c r="C1591" s="2831">
        <v>100</v>
      </c>
      <c r="D1591" s="2831" t="s">
        <v>3794</v>
      </c>
      <c r="E1591" s="2831" t="s">
        <v>2174</v>
      </c>
    </row>
    <row r="1592" spans="1:5">
      <c r="A1592" s="2831">
        <v>692</v>
      </c>
      <c r="B1592" s="2831" t="s">
        <v>3792</v>
      </c>
      <c r="C1592" s="2831">
        <v>195</v>
      </c>
      <c r="D1592" s="2831" t="s">
        <v>3795</v>
      </c>
      <c r="E1592" s="2831" t="s">
        <v>2174</v>
      </c>
    </row>
    <row r="1593" spans="1:5">
      <c r="A1593" s="2831">
        <v>692</v>
      </c>
      <c r="B1593" s="2831" t="s">
        <v>3792</v>
      </c>
      <c r="C1593" s="2831">
        <v>3050</v>
      </c>
      <c r="D1593" s="2831" t="s">
        <v>3796</v>
      </c>
      <c r="E1593" s="2831" t="s">
        <v>2174</v>
      </c>
    </row>
    <row r="1594" spans="1:5">
      <c r="A1594" s="2831">
        <v>692</v>
      </c>
      <c r="B1594" s="2831" t="s">
        <v>3792</v>
      </c>
      <c r="C1594" s="2831">
        <v>4050</v>
      </c>
      <c r="D1594" s="2831" t="s">
        <v>3051</v>
      </c>
      <c r="E1594" s="2831" t="s">
        <v>2166</v>
      </c>
    </row>
    <row r="1595" spans="1:5">
      <c r="A1595" s="2831">
        <v>692</v>
      </c>
      <c r="B1595" s="2831" t="s">
        <v>3792</v>
      </c>
      <c r="C1595" s="2831">
        <v>5050</v>
      </c>
      <c r="D1595" s="2831" t="s">
        <v>3797</v>
      </c>
      <c r="E1595" s="2831" t="s">
        <v>2174</v>
      </c>
    </row>
    <row r="1596" spans="1:5">
      <c r="A1596" s="2831">
        <v>692</v>
      </c>
      <c r="B1596" s="2831" t="s">
        <v>3792</v>
      </c>
      <c r="C1596" s="2831">
        <v>1052</v>
      </c>
      <c r="D1596" s="2831" t="s">
        <v>3798</v>
      </c>
      <c r="E1596" s="2831" t="s">
        <v>2174</v>
      </c>
    </row>
    <row r="1597" spans="1:5">
      <c r="A1597" s="2831">
        <v>692</v>
      </c>
      <c r="B1597" s="2831" t="s">
        <v>3792</v>
      </c>
      <c r="C1597" s="2831">
        <v>194</v>
      </c>
      <c r="D1597" s="2831" t="s">
        <v>3799</v>
      </c>
      <c r="E1597" s="2831" t="s">
        <v>2174</v>
      </c>
    </row>
    <row r="1598" spans="1:5">
      <c r="A1598" s="2831">
        <v>692</v>
      </c>
      <c r="B1598" s="2831" t="s">
        <v>3792</v>
      </c>
      <c r="C1598" s="2831">
        <v>211</v>
      </c>
      <c r="D1598" s="2831" t="s">
        <v>3800</v>
      </c>
      <c r="E1598" s="2831" t="s">
        <v>2169</v>
      </c>
    </row>
    <row r="1599" spans="1:5">
      <c r="A1599" s="2831">
        <v>692</v>
      </c>
      <c r="B1599" s="2831" t="s">
        <v>3792</v>
      </c>
      <c r="C1599" s="2831">
        <v>112</v>
      </c>
      <c r="D1599" s="2831" t="s">
        <v>3801</v>
      </c>
      <c r="E1599" s="2831" t="s">
        <v>2174</v>
      </c>
    </row>
    <row r="1600" spans="1:5">
      <c r="A1600" s="2831">
        <v>692</v>
      </c>
      <c r="B1600" s="2831" t="s">
        <v>3792</v>
      </c>
      <c r="C1600" s="2831">
        <v>111</v>
      </c>
      <c r="D1600" s="2831" t="s">
        <v>2796</v>
      </c>
      <c r="E1600" s="2831" t="s">
        <v>2174</v>
      </c>
    </row>
    <row r="1601" spans="1:5">
      <c r="A1601" s="2831">
        <v>693</v>
      </c>
      <c r="B1601" s="2831" t="s">
        <v>3802</v>
      </c>
      <c r="C1601" s="2831">
        <v>103</v>
      </c>
      <c r="D1601" s="2831" t="s">
        <v>3803</v>
      </c>
      <c r="E1601" s="2831" t="s">
        <v>2166</v>
      </c>
    </row>
    <row r="1602" spans="1:5">
      <c r="A1602" s="2831">
        <v>693</v>
      </c>
      <c r="B1602" s="2831" t="s">
        <v>3802</v>
      </c>
      <c r="C1602" s="2831">
        <v>2050</v>
      </c>
      <c r="D1602" s="2831" t="s">
        <v>3804</v>
      </c>
      <c r="E1602" s="2831" t="s">
        <v>2169</v>
      </c>
    </row>
    <row r="1603" spans="1:5">
      <c r="A1603" s="2831">
        <v>693</v>
      </c>
      <c r="B1603" s="2831" t="s">
        <v>3802</v>
      </c>
      <c r="C1603" s="2831">
        <v>191</v>
      </c>
      <c r="D1603" s="2831" t="s">
        <v>3805</v>
      </c>
      <c r="E1603" s="2831" t="s">
        <v>2166</v>
      </c>
    </row>
    <row r="1604" spans="1:5">
      <c r="A1604" s="2831">
        <v>693</v>
      </c>
      <c r="B1604" s="2831" t="s">
        <v>3802</v>
      </c>
      <c r="C1604" s="2831">
        <v>101</v>
      </c>
      <c r="D1604" s="2831" t="s">
        <v>3806</v>
      </c>
      <c r="E1604" s="2831" t="s">
        <v>2166</v>
      </c>
    </row>
    <row r="1605" spans="1:5">
      <c r="A1605" s="2831">
        <v>693</v>
      </c>
      <c r="B1605" s="2831" t="s">
        <v>3802</v>
      </c>
      <c r="C1605" s="2831">
        <v>1050</v>
      </c>
      <c r="D1605" s="2831" t="s">
        <v>3807</v>
      </c>
      <c r="E1605" s="2831" t="s">
        <v>2169</v>
      </c>
    </row>
    <row r="1606" spans="1:5">
      <c r="A1606" s="2831">
        <v>694</v>
      </c>
      <c r="B1606" s="2831" t="s">
        <v>3808</v>
      </c>
      <c r="C1606" s="2831">
        <v>198</v>
      </c>
      <c r="D1606" s="2831" t="s">
        <v>3809</v>
      </c>
      <c r="E1606" s="2831" t="s">
        <v>2166</v>
      </c>
    </row>
    <row r="1607" spans="1:5">
      <c r="A1607" s="2831">
        <v>694</v>
      </c>
      <c r="B1607" s="2831" t="s">
        <v>3808</v>
      </c>
      <c r="C1607" s="2831">
        <v>2060</v>
      </c>
      <c r="D1607" s="2831" t="s">
        <v>3810</v>
      </c>
      <c r="E1607" s="2831" t="s">
        <v>2166</v>
      </c>
    </row>
    <row r="1608" spans="1:5">
      <c r="A1608" s="2831">
        <v>694</v>
      </c>
      <c r="B1608" s="2831" t="s">
        <v>3808</v>
      </c>
      <c r="C1608" s="2831">
        <v>199</v>
      </c>
      <c r="D1608" s="2831" t="s">
        <v>3811</v>
      </c>
      <c r="E1608" s="2831" t="s">
        <v>2169</v>
      </c>
    </row>
    <row r="1609" spans="1:5">
      <c r="A1609" s="2831">
        <v>695</v>
      </c>
      <c r="B1609" s="2831" t="s">
        <v>3812</v>
      </c>
      <c r="C1609" s="2831">
        <v>1050</v>
      </c>
      <c r="D1609" s="2831" t="s">
        <v>3813</v>
      </c>
      <c r="E1609" s="2831" t="s">
        <v>2169</v>
      </c>
    </row>
    <row r="1610" spans="1:5">
      <c r="A1610" s="2831">
        <v>695</v>
      </c>
      <c r="B1610" s="2831" t="s">
        <v>3812</v>
      </c>
      <c r="C1610" s="2831">
        <v>2050</v>
      </c>
      <c r="D1610" s="2831" t="s">
        <v>3814</v>
      </c>
      <c r="E1610" s="2831" t="s">
        <v>2174</v>
      </c>
    </row>
    <row r="1611" spans="1:5">
      <c r="A1611" s="2831">
        <v>695</v>
      </c>
      <c r="B1611" s="2831" t="s">
        <v>3812</v>
      </c>
      <c r="C1611" s="2831">
        <v>195</v>
      </c>
      <c r="D1611" s="2831" t="s">
        <v>3815</v>
      </c>
      <c r="E1611" s="2831" t="s">
        <v>2166</v>
      </c>
    </row>
    <row r="1612" spans="1:5">
      <c r="A1612" s="2831">
        <v>695</v>
      </c>
      <c r="B1612" s="2831" t="s">
        <v>3812</v>
      </c>
      <c r="C1612" s="2831">
        <v>101</v>
      </c>
      <c r="D1612" s="2831" t="s">
        <v>3816</v>
      </c>
      <c r="E1612" s="2831" t="s">
        <v>2169</v>
      </c>
    </row>
    <row r="1613" spans="1:5">
      <c r="A1613" s="2831">
        <v>695</v>
      </c>
      <c r="B1613" s="2831" t="s">
        <v>3812</v>
      </c>
      <c r="C1613" s="2831">
        <v>4050</v>
      </c>
      <c r="D1613" s="2831" t="s">
        <v>3817</v>
      </c>
      <c r="E1613" s="2831" t="s">
        <v>2169</v>
      </c>
    </row>
    <row r="1614" spans="1:5">
      <c r="A1614" s="2831">
        <v>695</v>
      </c>
      <c r="B1614" s="2831" t="s">
        <v>3812</v>
      </c>
      <c r="C1614" s="2831">
        <v>5050</v>
      </c>
      <c r="D1614" s="2831" t="s">
        <v>3818</v>
      </c>
      <c r="E1614" s="2831" t="s">
        <v>2166</v>
      </c>
    </row>
    <row r="1615" spans="1:5">
      <c r="A1615" s="2831">
        <v>695</v>
      </c>
      <c r="B1615" s="2831" t="s">
        <v>3812</v>
      </c>
      <c r="C1615" s="2831">
        <v>1052</v>
      </c>
      <c r="D1615" s="2831" t="s">
        <v>3819</v>
      </c>
      <c r="E1615" s="2831" t="s">
        <v>2169</v>
      </c>
    </row>
    <row r="1616" spans="1:5">
      <c r="A1616" s="2831">
        <v>781</v>
      </c>
      <c r="B1616" s="2831" t="s">
        <v>3820</v>
      </c>
      <c r="C1616" s="2831">
        <v>188</v>
      </c>
      <c r="D1616" s="2831" t="s">
        <v>3821</v>
      </c>
      <c r="E1616" s="2831" t="s">
        <v>2166</v>
      </c>
    </row>
    <row r="1617" spans="1:5">
      <c r="A1617" s="2831">
        <v>781</v>
      </c>
      <c r="B1617" s="2831" t="s">
        <v>3820</v>
      </c>
      <c r="C1617" s="2831">
        <v>194</v>
      </c>
      <c r="D1617" s="2831" t="s">
        <v>3822</v>
      </c>
      <c r="E1617" s="2831" t="s">
        <v>2174</v>
      </c>
    </row>
    <row r="1618" spans="1:5">
      <c r="A1618" s="2831">
        <v>781</v>
      </c>
      <c r="B1618" s="2831" t="s">
        <v>3820</v>
      </c>
      <c r="C1618" s="2831">
        <v>3050</v>
      </c>
      <c r="D1618" s="2831" t="s">
        <v>3823</v>
      </c>
      <c r="E1618" s="2831" t="s">
        <v>2174</v>
      </c>
    </row>
    <row r="1619" spans="1:5">
      <c r="A1619" s="2831">
        <v>781</v>
      </c>
      <c r="B1619" s="2831" t="s">
        <v>3820</v>
      </c>
      <c r="C1619" s="2831">
        <v>294</v>
      </c>
      <c r="D1619" s="2831" t="s">
        <v>3824</v>
      </c>
      <c r="E1619" s="2831" t="s">
        <v>2174</v>
      </c>
    </row>
    <row r="1620" spans="1:5">
      <c r="A1620" s="2831">
        <v>781</v>
      </c>
      <c r="B1620" s="2831" t="s">
        <v>3820</v>
      </c>
      <c r="C1620" s="2831">
        <v>106</v>
      </c>
      <c r="D1620" s="2831" t="s">
        <v>3825</v>
      </c>
      <c r="E1620" s="2831" t="s">
        <v>2166</v>
      </c>
    </row>
    <row r="1621" spans="1:5">
      <c r="A1621" s="2831">
        <v>781</v>
      </c>
      <c r="B1621" s="2831" t="s">
        <v>3820</v>
      </c>
      <c r="C1621" s="2831">
        <v>101</v>
      </c>
      <c r="D1621" s="2831" t="s">
        <v>3826</v>
      </c>
      <c r="E1621" s="2831" t="s">
        <v>2174</v>
      </c>
    </row>
    <row r="1622" spans="1:5">
      <c r="A1622" s="2831">
        <v>781</v>
      </c>
      <c r="B1622" s="2831" t="s">
        <v>3820</v>
      </c>
      <c r="C1622" s="2831">
        <v>203</v>
      </c>
      <c r="D1622" s="2831" t="s">
        <v>3827</v>
      </c>
      <c r="E1622" s="2831" t="s">
        <v>2174</v>
      </c>
    </row>
    <row r="1623" spans="1:5">
      <c r="A1623" s="2831">
        <v>781</v>
      </c>
      <c r="B1623" s="2831" t="s">
        <v>3820</v>
      </c>
      <c r="C1623" s="2831">
        <v>303</v>
      </c>
      <c r="D1623" s="2831" t="s">
        <v>3828</v>
      </c>
      <c r="E1623" s="2831" t="s">
        <v>2174</v>
      </c>
    </row>
    <row r="1624" spans="1:5">
      <c r="A1624" s="2831">
        <v>781</v>
      </c>
      <c r="B1624" s="2831" t="s">
        <v>3820</v>
      </c>
      <c r="C1624" s="2831">
        <v>2052</v>
      </c>
      <c r="D1624" s="2831" t="s">
        <v>3829</v>
      </c>
      <c r="E1624" s="2831" t="s">
        <v>2174</v>
      </c>
    </row>
    <row r="1625" spans="1:5">
      <c r="A1625" s="2831">
        <v>781</v>
      </c>
      <c r="B1625" s="2831" t="s">
        <v>3820</v>
      </c>
      <c r="C1625" s="2831">
        <v>104</v>
      </c>
      <c r="D1625" s="2831" t="s">
        <v>3830</v>
      </c>
      <c r="E1625" s="2831" t="s">
        <v>2174</v>
      </c>
    </row>
    <row r="1626" spans="1:5">
      <c r="A1626" s="2831">
        <v>781</v>
      </c>
      <c r="B1626" s="2831" t="s">
        <v>3820</v>
      </c>
      <c r="C1626" s="2831">
        <v>5052</v>
      </c>
      <c r="D1626" s="2831" t="s">
        <v>2511</v>
      </c>
      <c r="E1626" s="2831" t="s">
        <v>2166</v>
      </c>
    </row>
    <row r="1627" spans="1:5">
      <c r="A1627" s="2831">
        <v>696</v>
      </c>
      <c r="B1627" s="2831" t="s">
        <v>3831</v>
      </c>
      <c r="C1627" s="2831">
        <v>197</v>
      </c>
      <c r="D1627" s="2831" t="s">
        <v>3832</v>
      </c>
      <c r="E1627" s="2831" t="s">
        <v>2166</v>
      </c>
    </row>
    <row r="1628" spans="1:5">
      <c r="A1628" s="2831">
        <v>696</v>
      </c>
      <c r="B1628" s="2831" t="s">
        <v>3831</v>
      </c>
      <c r="C1628" s="2831">
        <v>275</v>
      </c>
      <c r="D1628" s="2831" t="s">
        <v>3833</v>
      </c>
      <c r="E1628" s="2831" t="s">
        <v>2169</v>
      </c>
    </row>
    <row r="1629" spans="1:5">
      <c r="A1629" s="2831">
        <v>697</v>
      </c>
      <c r="B1629" s="2831" t="s">
        <v>3834</v>
      </c>
      <c r="C1629" s="2831">
        <v>191</v>
      </c>
      <c r="D1629" s="2831" t="s">
        <v>3835</v>
      </c>
      <c r="E1629" s="2831" t="s">
        <v>2174</v>
      </c>
    </row>
    <row r="1630" spans="1:5">
      <c r="A1630" s="2831">
        <v>697</v>
      </c>
      <c r="B1630" s="2831" t="s">
        <v>3834</v>
      </c>
      <c r="C1630" s="2831">
        <v>179</v>
      </c>
      <c r="D1630" s="2831" t="s">
        <v>3836</v>
      </c>
      <c r="E1630" s="2831" t="s">
        <v>2174</v>
      </c>
    </row>
    <row r="1631" spans="1:5">
      <c r="A1631" s="2831">
        <v>697</v>
      </c>
      <c r="B1631" s="2831" t="s">
        <v>3834</v>
      </c>
      <c r="C1631" s="2831">
        <v>113</v>
      </c>
      <c r="D1631" s="2831" t="s">
        <v>3837</v>
      </c>
      <c r="E1631" s="2831" t="s">
        <v>2166</v>
      </c>
    </row>
    <row r="1632" spans="1:5">
      <c r="A1632" s="2831">
        <v>697</v>
      </c>
      <c r="B1632" s="2831" t="s">
        <v>3834</v>
      </c>
      <c r="C1632" s="2831">
        <v>4050</v>
      </c>
      <c r="D1632" s="2831" t="s">
        <v>3838</v>
      </c>
      <c r="E1632" s="2831" t="s">
        <v>2174</v>
      </c>
    </row>
    <row r="1633" spans="1:5">
      <c r="A1633" s="2831">
        <v>697</v>
      </c>
      <c r="B1633" s="2831" t="s">
        <v>3834</v>
      </c>
      <c r="C1633" s="2831">
        <v>192</v>
      </c>
      <c r="D1633" s="2831" t="s">
        <v>3839</v>
      </c>
      <c r="E1633" s="2831" t="s">
        <v>2166</v>
      </c>
    </row>
    <row r="1634" spans="1:5">
      <c r="A1634" s="2831">
        <v>697</v>
      </c>
      <c r="B1634" s="2831" t="s">
        <v>3834</v>
      </c>
      <c r="C1634" s="2831">
        <v>112</v>
      </c>
      <c r="D1634" s="2831" t="s">
        <v>3840</v>
      </c>
      <c r="E1634" s="2831" t="s">
        <v>2174</v>
      </c>
    </row>
    <row r="1635" spans="1:5">
      <c r="A1635" s="2831">
        <v>698</v>
      </c>
      <c r="B1635" s="2831" t="s">
        <v>3841</v>
      </c>
      <c r="C1635" s="2831">
        <v>104</v>
      </c>
      <c r="D1635" s="2831" t="s">
        <v>3842</v>
      </c>
      <c r="E1635" s="2831" t="s">
        <v>2169</v>
      </c>
    </row>
    <row r="1636" spans="1:5">
      <c r="A1636" s="2831">
        <v>698</v>
      </c>
      <c r="B1636" s="2831" t="s">
        <v>3841</v>
      </c>
      <c r="C1636" s="2831">
        <v>101</v>
      </c>
      <c r="D1636" s="2831" t="s">
        <v>3843</v>
      </c>
      <c r="E1636" s="2831" t="s">
        <v>2166</v>
      </c>
    </row>
    <row r="1637" spans="1:5">
      <c r="A1637" s="2831">
        <v>698</v>
      </c>
      <c r="B1637" s="2831" t="s">
        <v>3841</v>
      </c>
      <c r="C1637" s="2831">
        <v>205</v>
      </c>
      <c r="D1637" s="2831" t="s">
        <v>3844</v>
      </c>
      <c r="E1637" s="2831" t="s">
        <v>2169</v>
      </c>
    </row>
    <row r="1638" spans="1:5">
      <c r="A1638" s="2831">
        <v>699</v>
      </c>
      <c r="B1638" s="2831" t="s">
        <v>3845</v>
      </c>
      <c r="C1638" s="2831">
        <v>300</v>
      </c>
      <c r="D1638" s="2831" t="s">
        <v>3846</v>
      </c>
      <c r="E1638" s="2831" t="s">
        <v>2169</v>
      </c>
    </row>
    <row r="1639" spans="1:5">
      <c r="A1639" s="2831">
        <v>699</v>
      </c>
      <c r="B1639" s="2831" t="s">
        <v>3845</v>
      </c>
      <c r="C1639" s="2831">
        <v>401</v>
      </c>
      <c r="D1639" s="2831" t="s">
        <v>3847</v>
      </c>
      <c r="E1639" s="2831" t="s">
        <v>2174</v>
      </c>
    </row>
    <row r="1640" spans="1:5">
      <c r="A1640" s="2831">
        <v>699</v>
      </c>
      <c r="B1640" s="2831" t="s">
        <v>3845</v>
      </c>
      <c r="C1640" s="2831">
        <v>4050</v>
      </c>
      <c r="D1640" s="2831" t="s">
        <v>3848</v>
      </c>
      <c r="E1640" s="2831" t="s">
        <v>2169</v>
      </c>
    </row>
    <row r="1641" spans="1:5">
      <c r="A1641" s="2831">
        <v>699</v>
      </c>
      <c r="B1641" s="2831" t="s">
        <v>3845</v>
      </c>
      <c r="C1641" s="2831">
        <v>5050</v>
      </c>
      <c r="D1641" s="2831" t="s">
        <v>3849</v>
      </c>
      <c r="E1641" s="2831" t="s">
        <v>2169</v>
      </c>
    </row>
    <row r="1642" spans="1:5">
      <c r="A1642" s="2831">
        <v>699</v>
      </c>
      <c r="B1642" s="2831" t="s">
        <v>3845</v>
      </c>
      <c r="C1642" s="2831">
        <v>200</v>
      </c>
      <c r="D1642" s="2831" t="s">
        <v>2748</v>
      </c>
      <c r="E1642" s="2831" t="s">
        <v>2166</v>
      </c>
    </row>
    <row r="1643" spans="1:5">
      <c r="A1643" s="2831">
        <v>699</v>
      </c>
      <c r="B1643" s="2831" t="s">
        <v>3845</v>
      </c>
      <c r="C1643" s="2831">
        <v>100</v>
      </c>
      <c r="D1643" s="2831" t="s">
        <v>3850</v>
      </c>
      <c r="E1643" s="2831" t="s">
        <v>2166</v>
      </c>
    </row>
    <row r="1644" spans="1:5">
      <c r="A1644" s="2831">
        <v>700</v>
      </c>
      <c r="B1644" s="2831" t="s">
        <v>3851</v>
      </c>
      <c r="C1644" s="2831">
        <v>110</v>
      </c>
      <c r="D1644" s="2831" t="s">
        <v>3852</v>
      </c>
      <c r="E1644" s="2831" t="s">
        <v>2166</v>
      </c>
    </row>
    <row r="1645" spans="1:5">
      <c r="A1645" s="2831">
        <v>700</v>
      </c>
      <c r="B1645" s="2831" t="s">
        <v>3851</v>
      </c>
      <c r="C1645" s="2831">
        <v>210</v>
      </c>
      <c r="D1645" s="2831" t="s">
        <v>3853</v>
      </c>
      <c r="E1645" s="2831" t="s">
        <v>2169</v>
      </c>
    </row>
    <row r="1646" spans="1:5">
      <c r="A1646" s="2831">
        <v>700</v>
      </c>
      <c r="B1646" s="2831" t="s">
        <v>3851</v>
      </c>
      <c r="C1646" s="2831">
        <v>310</v>
      </c>
      <c r="D1646" s="2831" t="s">
        <v>3854</v>
      </c>
      <c r="E1646" s="2831" t="s">
        <v>2174</v>
      </c>
    </row>
    <row r="1647" spans="1:5">
      <c r="A1647" s="2831">
        <v>701</v>
      </c>
      <c r="B1647" s="2831" t="s">
        <v>3855</v>
      </c>
      <c r="C1647" s="2831">
        <v>111</v>
      </c>
      <c r="D1647" s="2831" t="s">
        <v>3856</v>
      </c>
      <c r="E1647" s="2831" t="s">
        <v>2174</v>
      </c>
    </row>
    <row r="1648" spans="1:5">
      <c r="A1648" s="2831">
        <v>701</v>
      </c>
      <c r="B1648" s="2831" t="s">
        <v>3855</v>
      </c>
      <c r="C1648" s="2831">
        <v>282</v>
      </c>
      <c r="D1648" s="2831" t="s">
        <v>3857</v>
      </c>
      <c r="E1648" s="2831" t="s">
        <v>2166</v>
      </c>
    </row>
    <row r="1649" spans="1:5">
      <c r="A1649" s="2831">
        <v>701</v>
      </c>
      <c r="B1649" s="2831" t="s">
        <v>3855</v>
      </c>
      <c r="C1649" s="2831">
        <v>197</v>
      </c>
      <c r="D1649" s="2831" t="s">
        <v>3858</v>
      </c>
      <c r="E1649" s="2831" t="s">
        <v>2166</v>
      </c>
    </row>
    <row r="1650" spans="1:5">
      <c r="A1650" s="2831">
        <v>701</v>
      </c>
      <c r="B1650" s="2831" t="s">
        <v>3855</v>
      </c>
      <c r="C1650" s="2831">
        <v>198</v>
      </c>
      <c r="D1650" s="2831" t="s">
        <v>3859</v>
      </c>
      <c r="E1650" s="2831" t="s">
        <v>2166</v>
      </c>
    </row>
    <row r="1651" spans="1:5">
      <c r="A1651" s="2831">
        <v>702</v>
      </c>
      <c r="B1651" s="2831" t="s">
        <v>3860</v>
      </c>
      <c r="C1651" s="2831">
        <v>111</v>
      </c>
      <c r="D1651" s="2831" t="s">
        <v>3861</v>
      </c>
      <c r="E1651" s="2831" t="s">
        <v>2169</v>
      </c>
    </row>
    <row r="1652" spans="1:5">
      <c r="A1652" s="2831">
        <v>702</v>
      </c>
      <c r="B1652" s="2831" t="s">
        <v>3860</v>
      </c>
      <c r="C1652" s="2831">
        <v>184</v>
      </c>
      <c r="D1652" s="2831" t="s">
        <v>3862</v>
      </c>
      <c r="E1652" s="2831" t="s">
        <v>2174</v>
      </c>
    </row>
    <row r="1653" spans="1:5">
      <c r="A1653" s="2831">
        <v>702</v>
      </c>
      <c r="B1653" s="2831" t="s">
        <v>3860</v>
      </c>
      <c r="C1653" s="2831">
        <v>113</v>
      </c>
      <c r="D1653" s="2831" t="s">
        <v>3863</v>
      </c>
      <c r="E1653" s="2831" t="s">
        <v>2174</v>
      </c>
    </row>
    <row r="1654" spans="1:5">
      <c r="A1654" s="2831">
        <v>702</v>
      </c>
      <c r="B1654" s="2831" t="s">
        <v>3860</v>
      </c>
      <c r="C1654" s="2831">
        <v>205</v>
      </c>
      <c r="D1654" s="2831" t="s">
        <v>3864</v>
      </c>
      <c r="E1654" s="2831" t="s">
        <v>2174</v>
      </c>
    </row>
    <row r="1655" spans="1:5">
      <c r="A1655" s="2831">
        <v>702</v>
      </c>
      <c r="B1655" s="2831" t="s">
        <v>3860</v>
      </c>
      <c r="C1655" s="2831">
        <v>105</v>
      </c>
      <c r="D1655" s="2831" t="s">
        <v>3865</v>
      </c>
      <c r="E1655" s="2831" t="s">
        <v>2174</v>
      </c>
    </row>
    <row r="1656" spans="1:5">
      <c r="A1656" s="2831">
        <v>703</v>
      </c>
      <c r="B1656" s="2831" t="s">
        <v>3866</v>
      </c>
      <c r="C1656" s="2831">
        <v>107</v>
      </c>
      <c r="D1656" s="2831" t="s">
        <v>3867</v>
      </c>
      <c r="E1656" s="2831" t="s">
        <v>2166</v>
      </c>
    </row>
    <row r="1657" spans="1:5">
      <c r="A1657" s="2831">
        <v>703</v>
      </c>
      <c r="B1657" s="2831" t="s">
        <v>3866</v>
      </c>
      <c r="C1657" s="2831">
        <v>201</v>
      </c>
      <c r="D1657" s="2831" t="s">
        <v>3868</v>
      </c>
      <c r="E1657" s="2831" t="s">
        <v>2169</v>
      </c>
    </row>
    <row r="1658" spans="1:5">
      <c r="A1658" s="2831">
        <v>703</v>
      </c>
      <c r="B1658" s="2831" t="s">
        <v>3866</v>
      </c>
      <c r="C1658" s="2831">
        <v>101</v>
      </c>
      <c r="D1658" s="2831" t="s">
        <v>3869</v>
      </c>
      <c r="E1658" s="2831" t="s">
        <v>2169</v>
      </c>
    </row>
    <row r="1659" spans="1:5">
      <c r="A1659" s="2831">
        <v>704</v>
      </c>
      <c r="B1659" s="2831" t="s">
        <v>3870</v>
      </c>
      <c r="C1659" s="2831">
        <v>191</v>
      </c>
      <c r="D1659" s="2831" t="s">
        <v>3871</v>
      </c>
      <c r="E1659" s="2831" t="s">
        <v>2166</v>
      </c>
    </row>
    <row r="1660" spans="1:5">
      <c r="A1660" s="2831">
        <v>704</v>
      </c>
      <c r="B1660" s="2831" t="s">
        <v>3870</v>
      </c>
      <c r="C1660" s="2831">
        <v>1050</v>
      </c>
      <c r="D1660" s="2831" t="s">
        <v>3872</v>
      </c>
      <c r="E1660" s="2831" t="s">
        <v>2169</v>
      </c>
    </row>
    <row r="1661" spans="1:5">
      <c r="A1661" s="2831">
        <v>704</v>
      </c>
      <c r="B1661" s="2831" t="s">
        <v>3870</v>
      </c>
      <c r="C1661" s="2831">
        <v>5050</v>
      </c>
      <c r="D1661" s="2831" t="s">
        <v>3873</v>
      </c>
      <c r="E1661" s="2831" t="s">
        <v>2166</v>
      </c>
    </row>
    <row r="1662" spans="1:5">
      <c r="A1662" s="2831">
        <v>704</v>
      </c>
      <c r="B1662" s="2831" t="s">
        <v>3870</v>
      </c>
      <c r="C1662" s="2831">
        <v>3050</v>
      </c>
      <c r="D1662" s="2831" t="s">
        <v>3874</v>
      </c>
      <c r="E1662" s="2831" t="s">
        <v>2166</v>
      </c>
    </row>
    <row r="1663" spans="1:5">
      <c r="A1663" s="2831">
        <v>705</v>
      </c>
      <c r="B1663" s="2831" t="s">
        <v>3875</v>
      </c>
      <c r="C1663" s="2831">
        <v>204</v>
      </c>
      <c r="D1663" s="2831" t="s">
        <v>3876</v>
      </c>
      <c r="E1663" s="2831" t="s">
        <v>2166</v>
      </c>
    </row>
    <row r="1664" spans="1:5">
      <c r="A1664" s="2831">
        <v>705</v>
      </c>
      <c r="B1664" s="2831" t="s">
        <v>3875</v>
      </c>
      <c r="C1664" s="2831">
        <v>1050</v>
      </c>
      <c r="D1664" s="2831" t="s">
        <v>3877</v>
      </c>
      <c r="E1664" s="2831" t="s">
        <v>2174</v>
      </c>
    </row>
    <row r="1665" spans="1:5">
      <c r="A1665" s="2831">
        <v>705</v>
      </c>
      <c r="B1665" s="2831" t="s">
        <v>3875</v>
      </c>
      <c r="C1665" s="2831">
        <v>195</v>
      </c>
      <c r="D1665" s="2831" t="s">
        <v>3878</v>
      </c>
      <c r="E1665" s="2831" t="s">
        <v>2174</v>
      </c>
    </row>
    <row r="1666" spans="1:5">
      <c r="A1666" s="2831">
        <v>705</v>
      </c>
      <c r="B1666" s="2831" t="s">
        <v>3875</v>
      </c>
      <c r="C1666" s="2831">
        <v>198</v>
      </c>
      <c r="D1666" s="2831" t="s">
        <v>3879</v>
      </c>
      <c r="E1666" s="2831" t="s">
        <v>2169</v>
      </c>
    </row>
    <row r="1667" spans="1:5">
      <c r="A1667" s="2831">
        <v>705</v>
      </c>
      <c r="B1667" s="2831" t="s">
        <v>3875</v>
      </c>
      <c r="C1667" s="2831">
        <v>4050</v>
      </c>
      <c r="D1667" s="2831" t="s">
        <v>3880</v>
      </c>
      <c r="E1667" s="2831" t="s">
        <v>2166</v>
      </c>
    </row>
    <row r="1668" spans="1:5">
      <c r="A1668" s="2831">
        <v>705</v>
      </c>
      <c r="B1668" s="2831" t="s">
        <v>3875</v>
      </c>
      <c r="C1668" s="2831">
        <v>190</v>
      </c>
      <c r="D1668" s="2831" t="s">
        <v>3881</v>
      </c>
      <c r="E1668" s="2831" t="s">
        <v>2166</v>
      </c>
    </row>
    <row r="1669" spans="1:5">
      <c r="A1669" s="2831">
        <v>705</v>
      </c>
      <c r="B1669" s="2831" t="s">
        <v>3875</v>
      </c>
      <c r="C1669" s="2831">
        <v>112</v>
      </c>
      <c r="D1669" s="2831" t="s">
        <v>3882</v>
      </c>
      <c r="E1669" s="2831" t="s">
        <v>2166</v>
      </c>
    </row>
    <row r="1670" spans="1:5">
      <c r="A1670" s="2831">
        <v>705</v>
      </c>
      <c r="B1670" s="2831" t="s">
        <v>3875</v>
      </c>
      <c r="C1670" s="2831">
        <v>5050</v>
      </c>
      <c r="D1670" s="2831" t="s">
        <v>3883</v>
      </c>
      <c r="E1670" s="2831" t="s">
        <v>2174</v>
      </c>
    </row>
    <row r="1671" spans="1:5">
      <c r="A1671" s="2831">
        <v>705</v>
      </c>
      <c r="B1671" s="2831" t="s">
        <v>3875</v>
      </c>
      <c r="C1671" s="2831">
        <v>108</v>
      </c>
      <c r="D1671" s="2831" t="s">
        <v>3884</v>
      </c>
      <c r="E1671" s="2831" t="s">
        <v>2166</v>
      </c>
    </row>
    <row r="1672" spans="1:5">
      <c r="A1672" s="2831">
        <v>705</v>
      </c>
      <c r="B1672" s="2831" t="s">
        <v>3875</v>
      </c>
      <c r="C1672" s="2831">
        <v>1052</v>
      </c>
      <c r="D1672" s="2831" t="s">
        <v>3885</v>
      </c>
      <c r="E1672" s="2831" t="s">
        <v>2166</v>
      </c>
    </row>
    <row r="1673" spans="1:5">
      <c r="A1673" s="2831">
        <v>705</v>
      </c>
      <c r="B1673" s="2831" t="s">
        <v>3875</v>
      </c>
      <c r="C1673" s="2831">
        <v>104</v>
      </c>
      <c r="D1673" s="2831" t="s">
        <v>3886</v>
      </c>
      <c r="E1673" s="2831" t="s">
        <v>2166</v>
      </c>
    </row>
    <row r="1674" spans="1:5">
      <c r="A1674" s="2831">
        <v>706</v>
      </c>
      <c r="B1674" s="2831" t="s">
        <v>3887</v>
      </c>
      <c r="C1674" s="2831">
        <v>115</v>
      </c>
      <c r="D1674" s="2831" t="s">
        <v>3888</v>
      </c>
      <c r="E1674" s="2831" t="s">
        <v>2166</v>
      </c>
    </row>
    <row r="1675" spans="1:5">
      <c r="A1675" s="2831">
        <v>706</v>
      </c>
      <c r="B1675" s="2831" t="s">
        <v>3887</v>
      </c>
      <c r="C1675" s="2831">
        <v>4065</v>
      </c>
      <c r="D1675" s="2831" t="s">
        <v>3889</v>
      </c>
      <c r="E1675" s="2831" t="s">
        <v>2169</v>
      </c>
    </row>
    <row r="1676" spans="1:5">
      <c r="A1676" s="2831">
        <v>706</v>
      </c>
      <c r="B1676" s="2831" t="s">
        <v>3887</v>
      </c>
      <c r="C1676" s="2831">
        <v>2050</v>
      </c>
      <c r="D1676" s="2831" t="s">
        <v>3890</v>
      </c>
      <c r="E1676" s="2831" t="s">
        <v>2169</v>
      </c>
    </row>
    <row r="1677" spans="1:5">
      <c r="A1677" s="2831">
        <v>706</v>
      </c>
      <c r="B1677" s="2831" t="s">
        <v>3887</v>
      </c>
      <c r="C1677" s="2831">
        <v>300</v>
      </c>
      <c r="D1677" s="2831" t="s">
        <v>3891</v>
      </c>
      <c r="E1677" s="2831" t="s">
        <v>2166</v>
      </c>
    </row>
    <row r="1678" spans="1:5">
      <c r="A1678" s="2831">
        <v>706</v>
      </c>
      <c r="B1678" s="2831" t="s">
        <v>3887</v>
      </c>
      <c r="C1678" s="2831">
        <v>196</v>
      </c>
      <c r="D1678" s="2831" t="s">
        <v>3892</v>
      </c>
      <c r="E1678" s="2831" t="s">
        <v>2174</v>
      </c>
    </row>
    <row r="1679" spans="1:5">
      <c r="A1679" s="2831">
        <v>706</v>
      </c>
      <c r="B1679" s="2831" t="s">
        <v>3887</v>
      </c>
      <c r="C1679" s="2831">
        <v>2052</v>
      </c>
      <c r="D1679" s="2831" t="s">
        <v>3893</v>
      </c>
      <c r="E1679" s="2831" t="s">
        <v>2166</v>
      </c>
    </row>
    <row r="1680" spans="1:5">
      <c r="A1680" s="2831">
        <v>706</v>
      </c>
      <c r="B1680" s="2831" t="s">
        <v>3887</v>
      </c>
      <c r="C1680" s="2831">
        <v>192</v>
      </c>
      <c r="D1680" s="2831" t="s">
        <v>3894</v>
      </c>
      <c r="E1680" s="2831" t="s">
        <v>2169</v>
      </c>
    </row>
    <row r="1681" spans="1:5">
      <c r="A1681" s="2831">
        <v>706</v>
      </c>
      <c r="B1681" s="2831" t="s">
        <v>3887</v>
      </c>
      <c r="C1681" s="2831">
        <v>3056</v>
      </c>
      <c r="D1681" s="2831" t="s">
        <v>3895</v>
      </c>
      <c r="E1681" s="2831" t="s">
        <v>2166</v>
      </c>
    </row>
    <row r="1682" spans="1:5">
      <c r="A1682" s="2831">
        <v>706</v>
      </c>
      <c r="B1682" s="2831" t="s">
        <v>3887</v>
      </c>
      <c r="C1682" s="2831">
        <v>5052</v>
      </c>
      <c r="D1682" s="2831" t="s">
        <v>2191</v>
      </c>
      <c r="E1682" s="2831" t="s">
        <v>2166</v>
      </c>
    </row>
    <row r="1683" spans="1:5">
      <c r="A1683" s="2831">
        <v>706</v>
      </c>
      <c r="B1683" s="2831" t="s">
        <v>3887</v>
      </c>
      <c r="C1683" s="2831">
        <v>2054</v>
      </c>
      <c r="D1683" s="2831" t="s">
        <v>3896</v>
      </c>
      <c r="E1683" s="2831" t="s">
        <v>2169</v>
      </c>
    </row>
    <row r="1684" spans="1:5">
      <c r="A1684" s="2831">
        <v>706</v>
      </c>
      <c r="B1684" s="2831" t="s">
        <v>3887</v>
      </c>
      <c r="C1684" s="2831">
        <v>3054</v>
      </c>
      <c r="D1684" s="2831" t="s">
        <v>3897</v>
      </c>
      <c r="E1684" s="2831" t="s">
        <v>2166</v>
      </c>
    </row>
    <row r="1685" spans="1:5">
      <c r="A1685" s="2831">
        <v>706</v>
      </c>
      <c r="B1685" s="2831" t="s">
        <v>3887</v>
      </c>
      <c r="C1685" s="2831">
        <v>4056</v>
      </c>
      <c r="D1685" s="2831" t="s">
        <v>2705</v>
      </c>
      <c r="E1685" s="2831" t="s">
        <v>2166</v>
      </c>
    </row>
    <row r="1686" spans="1:5">
      <c r="A1686" s="2831">
        <v>706</v>
      </c>
      <c r="B1686" s="2831" t="s">
        <v>3887</v>
      </c>
      <c r="C1686" s="2831">
        <v>5056</v>
      </c>
      <c r="D1686" s="2831" t="s">
        <v>3898</v>
      </c>
      <c r="E1686" s="2831" t="s">
        <v>2166</v>
      </c>
    </row>
    <row r="1687" spans="1:5">
      <c r="A1687" s="2831">
        <v>706</v>
      </c>
      <c r="B1687" s="2831" t="s">
        <v>3887</v>
      </c>
      <c r="C1687" s="2831">
        <v>1058</v>
      </c>
      <c r="D1687" s="2831" t="s">
        <v>3899</v>
      </c>
      <c r="E1687" s="2831" t="s">
        <v>2174</v>
      </c>
    </row>
    <row r="1688" spans="1:5">
      <c r="A1688" s="2831">
        <v>706</v>
      </c>
      <c r="B1688" s="2831" t="s">
        <v>3887</v>
      </c>
      <c r="C1688" s="2831">
        <v>215</v>
      </c>
      <c r="D1688" s="2831" t="s">
        <v>3900</v>
      </c>
      <c r="E1688" s="2831" t="s">
        <v>2169</v>
      </c>
    </row>
    <row r="1689" spans="1:5">
      <c r="A1689" s="2831">
        <v>706</v>
      </c>
      <c r="B1689" s="2831" t="s">
        <v>3887</v>
      </c>
      <c r="C1689" s="2831">
        <v>2058</v>
      </c>
      <c r="D1689" s="2831" t="s">
        <v>3901</v>
      </c>
      <c r="E1689" s="2831" t="s">
        <v>2169</v>
      </c>
    </row>
    <row r="1690" spans="1:5">
      <c r="A1690" s="2831">
        <v>706</v>
      </c>
      <c r="B1690" s="2831" t="s">
        <v>3887</v>
      </c>
      <c r="C1690" s="2831">
        <v>401</v>
      </c>
      <c r="D1690" s="2831" t="s">
        <v>3902</v>
      </c>
      <c r="E1690" s="2831" t="s">
        <v>2166</v>
      </c>
    </row>
    <row r="1691" spans="1:5">
      <c r="A1691" s="2831">
        <v>706</v>
      </c>
      <c r="B1691" s="2831" t="s">
        <v>3887</v>
      </c>
      <c r="C1691" s="2831">
        <v>296</v>
      </c>
      <c r="D1691" s="2831" t="s">
        <v>3903</v>
      </c>
      <c r="E1691" s="2831" t="s">
        <v>2166</v>
      </c>
    </row>
    <row r="1692" spans="1:5">
      <c r="A1692" s="2831">
        <v>706</v>
      </c>
      <c r="B1692" s="2831" t="s">
        <v>3887</v>
      </c>
      <c r="C1692" s="2831">
        <v>108</v>
      </c>
      <c r="D1692" s="2831" t="s">
        <v>3904</v>
      </c>
      <c r="E1692" s="2831" t="s">
        <v>2166</v>
      </c>
    </row>
    <row r="1693" spans="1:5">
      <c r="A1693" s="2831">
        <v>706</v>
      </c>
      <c r="B1693" s="2831" t="s">
        <v>3887</v>
      </c>
      <c r="C1693" s="2831">
        <v>301</v>
      </c>
      <c r="D1693" s="2831" t="s">
        <v>3905</v>
      </c>
      <c r="E1693" s="2831" t="s">
        <v>2174</v>
      </c>
    </row>
    <row r="1694" spans="1:5">
      <c r="A1694" s="2831">
        <v>706</v>
      </c>
      <c r="B1694" s="2831" t="s">
        <v>3887</v>
      </c>
      <c r="C1694" s="2831">
        <v>5058</v>
      </c>
      <c r="D1694" s="2831" t="s">
        <v>3906</v>
      </c>
      <c r="E1694" s="2831" t="s">
        <v>2166</v>
      </c>
    </row>
    <row r="1695" spans="1:5">
      <c r="A1695" s="2831">
        <v>706</v>
      </c>
      <c r="B1695" s="2831" t="s">
        <v>3887</v>
      </c>
      <c r="C1695" s="2831">
        <v>3060</v>
      </c>
      <c r="D1695" s="2831" t="s">
        <v>3907</v>
      </c>
      <c r="E1695" s="2831" t="s">
        <v>2174</v>
      </c>
    </row>
    <row r="1696" spans="1:5">
      <c r="A1696" s="2831">
        <v>706</v>
      </c>
      <c r="B1696" s="2831" t="s">
        <v>3887</v>
      </c>
      <c r="C1696" s="2831">
        <v>178</v>
      </c>
      <c r="D1696" s="2831" t="s">
        <v>3908</v>
      </c>
      <c r="E1696" s="2831" t="s">
        <v>2174</v>
      </c>
    </row>
    <row r="1697" spans="1:5">
      <c r="A1697" s="2831">
        <v>706</v>
      </c>
      <c r="B1697" s="2831" t="s">
        <v>3887</v>
      </c>
      <c r="C1697" s="2831">
        <v>102</v>
      </c>
      <c r="D1697" s="2831" t="s">
        <v>3909</v>
      </c>
      <c r="E1697" s="2831" t="s">
        <v>2166</v>
      </c>
    </row>
    <row r="1698" spans="1:5">
      <c r="A1698" s="2831">
        <v>706</v>
      </c>
      <c r="B1698" s="2831" t="s">
        <v>3887</v>
      </c>
      <c r="C1698" s="2831">
        <v>5060</v>
      </c>
      <c r="D1698" s="2831" t="s">
        <v>3910</v>
      </c>
      <c r="E1698" s="2831" t="s">
        <v>2166</v>
      </c>
    </row>
    <row r="1699" spans="1:5">
      <c r="A1699" s="2831">
        <v>706</v>
      </c>
      <c r="B1699" s="2831" t="s">
        <v>3887</v>
      </c>
      <c r="C1699" s="2831">
        <v>1062</v>
      </c>
      <c r="D1699" s="2831" t="s">
        <v>3911</v>
      </c>
      <c r="E1699" s="2831" t="s">
        <v>2169</v>
      </c>
    </row>
    <row r="1700" spans="1:5">
      <c r="A1700" s="2831">
        <v>706</v>
      </c>
      <c r="B1700" s="2831" t="s">
        <v>3887</v>
      </c>
      <c r="C1700" s="2831">
        <v>191</v>
      </c>
      <c r="D1700" s="2831" t="s">
        <v>3912</v>
      </c>
      <c r="E1700" s="2831" t="s">
        <v>2174</v>
      </c>
    </row>
    <row r="1701" spans="1:5">
      <c r="A1701" s="2831">
        <v>706</v>
      </c>
      <c r="B1701" s="2831" t="s">
        <v>3887</v>
      </c>
      <c r="C1701" s="2831">
        <v>2062</v>
      </c>
      <c r="D1701" s="2831" t="s">
        <v>3913</v>
      </c>
      <c r="E1701" s="2831" t="s">
        <v>2174</v>
      </c>
    </row>
    <row r="1702" spans="1:5">
      <c r="A1702" s="2831">
        <v>706</v>
      </c>
      <c r="B1702" s="2831" t="s">
        <v>3887</v>
      </c>
      <c r="C1702" s="2831">
        <v>4062</v>
      </c>
      <c r="D1702" s="2831" t="s">
        <v>3914</v>
      </c>
      <c r="E1702" s="2831" t="s">
        <v>2169</v>
      </c>
    </row>
    <row r="1703" spans="1:5">
      <c r="A1703" s="2831">
        <v>706</v>
      </c>
      <c r="B1703" s="2831" t="s">
        <v>3887</v>
      </c>
      <c r="C1703" s="2831">
        <v>5062</v>
      </c>
      <c r="D1703" s="2831" t="s">
        <v>3915</v>
      </c>
      <c r="E1703" s="2831" t="s">
        <v>2166</v>
      </c>
    </row>
    <row r="1704" spans="1:5">
      <c r="A1704" s="2831">
        <v>706</v>
      </c>
      <c r="B1704" s="2831" t="s">
        <v>3887</v>
      </c>
      <c r="C1704" s="2831">
        <v>1064</v>
      </c>
      <c r="D1704" s="2831" t="s">
        <v>3916</v>
      </c>
      <c r="E1704" s="2831" t="s">
        <v>2174</v>
      </c>
    </row>
    <row r="1705" spans="1:5">
      <c r="A1705" s="2831">
        <v>706</v>
      </c>
      <c r="B1705" s="2831" t="s">
        <v>3887</v>
      </c>
      <c r="C1705" s="2831">
        <v>2064</v>
      </c>
      <c r="D1705" s="2831" t="s">
        <v>3917</v>
      </c>
      <c r="E1705" s="2831" t="s">
        <v>2166</v>
      </c>
    </row>
    <row r="1706" spans="1:5">
      <c r="A1706" s="2831">
        <v>706</v>
      </c>
      <c r="B1706" s="2831" t="s">
        <v>3887</v>
      </c>
      <c r="C1706" s="2831">
        <v>4058</v>
      </c>
      <c r="D1706" s="2831" t="s">
        <v>3918</v>
      </c>
      <c r="E1706" s="2831" t="s">
        <v>2174</v>
      </c>
    </row>
    <row r="1707" spans="1:5">
      <c r="A1707" s="2831">
        <v>706</v>
      </c>
      <c r="B1707" s="2831" t="s">
        <v>3887</v>
      </c>
      <c r="C1707" s="2831">
        <v>200</v>
      </c>
      <c r="D1707" s="2831" t="s">
        <v>2640</v>
      </c>
      <c r="E1707" s="2831" t="s">
        <v>2166</v>
      </c>
    </row>
    <row r="1708" spans="1:5">
      <c r="A1708" s="2831">
        <v>706</v>
      </c>
      <c r="B1708" s="2831" t="s">
        <v>3887</v>
      </c>
      <c r="C1708" s="2831">
        <v>4064</v>
      </c>
      <c r="D1708" s="2831" t="s">
        <v>3919</v>
      </c>
      <c r="E1708" s="2831" t="s">
        <v>2166</v>
      </c>
    </row>
    <row r="1709" spans="1:5">
      <c r="A1709" s="2831">
        <v>706</v>
      </c>
      <c r="B1709" s="2831" t="s">
        <v>3887</v>
      </c>
      <c r="C1709" s="2831">
        <v>501</v>
      </c>
      <c r="D1709" s="2831" t="s">
        <v>3920</v>
      </c>
      <c r="E1709" s="2831" t="s">
        <v>2174</v>
      </c>
    </row>
    <row r="1710" spans="1:5">
      <c r="A1710" s="2831">
        <v>706</v>
      </c>
      <c r="B1710" s="2831" t="s">
        <v>3887</v>
      </c>
      <c r="C1710" s="2831">
        <v>100</v>
      </c>
      <c r="D1710" s="2831" t="s">
        <v>3921</v>
      </c>
      <c r="E1710" s="2831" t="s">
        <v>2174</v>
      </c>
    </row>
    <row r="1711" spans="1:5">
      <c r="A1711" s="2831">
        <v>706</v>
      </c>
      <c r="B1711" s="2831" t="s">
        <v>3887</v>
      </c>
      <c r="C1711" s="2831">
        <v>104</v>
      </c>
      <c r="D1711" s="2831" t="s">
        <v>3922</v>
      </c>
      <c r="E1711" s="2831" t="s">
        <v>2174</v>
      </c>
    </row>
    <row r="1712" spans="1:5">
      <c r="A1712" s="2831">
        <v>706</v>
      </c>
      <c r="B1712" s="2831" t="s">
        <v>3887</v>
      </c>
      <c r="C1712" s="2831">
        <v>203</v>
      </c>
      <c r="D1712" s="2831" t="s">
        <v>3680</v>
      </c>
      <c r="E1712" s="2831" t="s">
        <v>2166</v>
      </c>
    </row>
    <row r="1713" spans="1:5">
      <c r="A1713" s="2831">
        <v>706</v>
      </c>
      <c r="B1713" s="2831" t="s">
        <v>3887</v>
      </c>
      <c r="C1713" s="2831">
        <v>502</v>
      </c>
      <c r="D1713" s="2831" t="s">
        <v>3923</v>
      </c>
      <c r="E1713" s="2831" t="s">
        <v>2174</v>
      </c>
    </row>
    <row r="1714" spans="1:5">
      <c r="A1714" s="2831">
        <v>706</v>
      </c>
      <c r="B1714" s="2831" t="s">
        <v>3887</v>
      </c>
      <c r="C1714" s="2831">
        <v>1066</v>
      </c>
      <c r="D1714" s="2831" t="s">
        <v>3924</v>
      </c>
      <c r="E1714" s="2831" t="s">
        <v>2166</v>
      </c>
    </row>
    <row r="1715" spans="1:5">
      <c r="A1715" s="2831">
        <v>706</v>
      </c>
      <c r="B1715" s="2831" t="s">
        <v>3887</v>
      </c>
      <c r="C1715" s="2831">
        <v>2066</v>
      </c>
      <c r="D1715" s="2831" t="s">
        <v>3514</v>
      </c>
      <c r="E1715" s="2831" t="s">
        <v>2174</v>
      </c>
    </row>
    <row r="1716" spans="1:5">
      <c r="A1716" s="2831">
        <v>706</v>
      </c>
      <c r="B1716" s="2831" t="s">
        <v>3887</v>
      </c>
      <c r="C1716" s="2831">
        <v>3066</v>
      </c>
      <c r="D1716" s="2831" t="s">
        <v>3925</v>
      </c>
      <c r="E1716" s="2831" t="s">
        <v>2169</v>
      </c>
    </row>
    <row r="1717" spans="1:5">
      <c r="A1717" s="2831">
        <v>706</v>
      </c>
      <c r="B1717" s="2831" t="s">
        <v>3887</v>
      </c>
      <c r="C1717" s="2831">
        <v>4066</v>
      </c>
      <c r="D1717" s="2831" t="s">
        <v>3926</v>
      </c>
      <c r="E1717" s="2831" t="s">
        <v>2169</v>
      </c>
    </row>
    <row r="1718" spans="1:5">
      <c r="A1718" s="2831">
        <v>706</v>
      </c>
      <c r="B1718" s="2831" t="s">
        <v>3887</v>
      </c>
      <c r="C1718" s="2831">
        <v>2067</v>
      </c>
      <c r="D1718" s="2831" t="s">
        <v>3927</v>
      </c>
      <c r="E1718" s="2831" t="s">
        <v>2174</v>
      </c>
    </row>
    <row r="1719" spans="1:5">
      <c r="A1719" s="2831">
        <v>706</v>
      </c>
      <c r="B1719" s="2831" t="s">
        <v>3887</v>
      </c>
      <c r="C1719" s="2831">
        <v>278</v>
      </c>
      <c r="D1719" s="2831" t="s">
        <v>3928</v>
      </c>
      <c r="E1719" s="2831" t="s">
        <v>2166</v>
      </c>
    </row>
    <row r="1720" spans="1:5">
      <c r="A1720" s="2831">
        <v>706</v>
      </c>
      <c r="B1720" s="2831" t="s">
        <v>3887</v>
      </c>
      <c r="C1720" s="2831">
        <v>4067</v>
      </c>
      <c r="D1720" s="2831" t="s">
        <v>3929</v>
      </c>
      <c r="E1720" s="2831" t="s">
        <v>2174</v>
      </c>
    </row>
    <row r="1721" spans="1:5">
      <c r="A1721" s="2831">
        <v>706</v>
      </c>
      <c r="B1721" s="2831" t="s">
        <v>3887</v>
      </c>
      <c r="C1721" s="2831">
        <v>378</v>
      </c>
      <c r="D1721" s="2831" t="s">
        <v>3930</v>
      </c>
      <c r="E1721" s="2831" t="s">
        <v>2169</v>
      </c>
    </row>
    <row r="1722" spans="1:5">
      <c r="A1722" s="2831">
        <v>706</v>
      </c>
      <c r="B1722" s="2831" t="s">
        <v>3887</v>
      </c>
      <c r="C1722" s="2831">
        <v>3068</v>
      </c>
      <c r="D1722" s="2831" t="s">
        <v>3931</v>
      </c>
      <c r="E1722" s="2831" t="s">
        <v>2166</v>
      </c>
    </row>
    <row r="1723" spans="1:5">
      <c r="A1723" s="2831">
        <v>706</v>
      </c>
      <c r="B1723" s="2831" t="s">
        <v>3887</v>
      </c>
      <c r="C1723" s="2831">
        <v>204</v>
      </c>
      <c r="D1723" s="2831" t="s">
        <v>3932</v>
      </c>
      <c r="E1723" s="2831" t="s">
        <v>2169</v>
      </c>
    </row>
    <row r="1724" spans="1:5">
      <c r="A1724" s="2831">
        <v>706</v>
      </c>
      <c r="B1724" s="2831" t="s">
        <v>3887</v>
      </c>
      <c r="C1724" s="2831">
        <v>3069</v>
      </c>
      <c r="D1724" s="2831" t="s">
        <v>3933</v>
      </c>
      <c r="E1724" s="2831" t="s">
        <v>2169</v>
      </c>
    </row>
    <row r="1725" spans="1:5">
      <c r="A1725" s="2831">
        <v>706</v>
      </c>
      <c r="B1725" s="2831" t="s">
        <v>3887</v>
      </c>
      <c r="C1725" s="2831">
        <v>5069</v>
      </c>
      <c r="D1725" s="2831" t="s">
        <v>3934</v>
      </c>
      <c r="E1725" s="2831" t="s">
        <v>2174</v>
      </c>
    </row>
    <row r="1726" spans="1:5">
      <c r="A1726" s="2831">
        <v>706</v>
      </c>
      <c r="B1726" s="2831" t="s">
        <v>3887</v>
      </c>
      <c r="C1726" s="2831">
        <v>4070</v>
      </c>
      <c r="D1726" s="2831" t="s">
        <v>3935</v>
      </c>
      <c r="E1726" s="2831" t="s">
        <v>2174</v>
      </c>
    </row>
    <row r="1727" spans="1:5">
      <c r="A1727" s="2831">
        <v>707</v>
      </c>
      <c r="B1727" s="2831" t="s">
        <v>3936</v>
      </c>
      <c r="C1727" s="2831">
        <v>206</v>
      </c>
      <c r="D1727" s="2831" t="s">
        <v>3937</v>
      </c>
      <c r="E1727" s="2831" t="s">
        <v>2166</v>
      </c>
    </row>
    <row r="1728" spans="1:5">
      <c r="A1728" s="2831">
        <v>707</v>
      </c>
      <c r="B1728" s="2831" t="s">
        <v>3936</v>
      </c>
      <c r="C1728" s="2831">
        <v>117</v>
      </c>
      <c r="D1728" s="2831" t="s">
        <v>3938</v>
      </c>
      <c r="E1728" s="2831" t="s">
        <v>2169</v>
      </c>
    </row>
    <row r="1729" spans="1:5">
      <c r="A1729" s="2831">
        <v>707</v>
      </c>
      <c r="B1729" s="2831" t="s">
        <v>3936</v>
      </c>
      <c r="C1729" s="2831">
        <v>196</v>
      </c>
      <c r="D1729" s="2831" t="s">
        <v>3939</v>
      </c>
      <c r="E1729" s="2831" t="s">
        <v>2169</v>
      </c>
    </row>
    <row r="1730" spans="1:5">
      <c r="A1730" s="2831">
        <v>707</v>
      </c>
      <c r="B1730" s="2831" t="s">
        <v>3936</v>
      </c>
      <c r="C1730" s="2831">
        <v>1050</v>
      </c>
      <c r="D1730" s="2831" t="s">
        <v>3940</v>
      </c>
      <c r="E1730" s="2831" t="s">
        <v>2174</v>
      </c>
    </row>
    <row r="1731" spans="1:5">
      <c r="A1731" s="2831">
        <v>707</v>
      </c>
      <c r="B1731" s="2831" t="s">
        <v>3936</v>
      </c>
      <c r="C1731" s="2831">
        <v>295</v>
      </c>
      <c r="D1731" s="2831" t="s">
        <v>3941</v>
      </c>
      <c r="E1731" s="2831" t="s">
        <v>2174</v>
      </c>
    </row>
    <row r="1732" spans="1:5">
      <c r="A1732" s="2831">
        <v>707</v>
      </c>
      <c r="B1732" s="2831" t="s">
        <v>3936</v>
      </c>
      <c r="C1732" s="2831">
        <v>124</v>
      </c>
      <c r="D1732" s="2831" t="s">
        <v>3942</v>
      </c>
      <c r="E1732" s="2831" t="s">
        <v>2169</v>
      </c>
    </row>
    <row r="1733" spans="1:5">
      <c r="A1733" s="2831">
        <v>707</v>
      </c>
      <c r="B1733" s="2831" t="s">
        <v>3936</v>
      </c>
      <c r="C1733" s="2831">
        <v>122</v>
      </c>
      <c r="D1733" s="2831" t="s">
        <v>3943</v>
      </c>
      <c r="E1733" s="2831" t="s">
        <v>2169</v>
      </c>
    </row>
    <row r="1734" spans="1:5">
      <c r="A1734" s="2831">
        <v>707</v>
      </c>
      <c r="B1734" s="2831" t="s">
        <v>3936</v>
      </c>
      <c r="C1734" s="2831">
        <v>4550</v>
      </c>
      <c r="D1734" s="2831" t="s">
        <v>3944</v>
      </c>
      <c r="E1734" s="2831" t="s">
        <v>2169</v>
      </c>
    </row>
    <row r="1735" spans="1:5">
      <c r="A1735" s="2831">
        <v>707</v>
      </c>
      <c r="B1735" s="2831" t="s">
        <v>3936</v>
      </c>
      <c r="C1735" s="2831">
        <v>398</v>
      </c>
      <c r="D1735" s="2831" t="s">
        <v>3945</v>
      </c>
      <c r="E1735" s="2831" t="s">
        <v>2166</v>
      </c>
    </row>
    <row r="1736" spans="1:5">
      <c r="A1736" s="2831">
        <v>707</v>
      </c>
      <c r="B1736" s="2831" t="s">
        <v>3936</v>
      </c>
      <c r="C1736" s="2831">
        <v>114</v>
      </c>
      <c r="D1736" s="2831" t="s">
        <v>3204</v>
      </c>
      <c r="E1736" s="2831" t="s">
        <v>2174</v>
      </c>
    </row>
    <row r="1737" spans="1:5">
      <c r="A1737" s="2831">
        <v>707</v>
      </c>
      <c r="B1737" s="2831" t="s">
        <v>3936</v>
      </c>
      <c r="C1737" s="2831">
        <v>115</v>
      </c>
      <c r="D1737" s="2831" t="s">
        <v>3946</v>
      </c>
      <c r="E1737" s="2831" t="s">
        <v>2166</v>
      </c>
    </row>
    <row r="1738" spans="1:5">
      <c r="A1738" s="2831">
        <v>707</v>
      </c>
      <c r="B1738" s="2831" t="s">
        <v>3936</v>
      </c>
      <c r="C1738" s="2831">
        <v>3050</v>
      </c>
      <c r="D1738" s="2831" t="s">
        <v>3947</v>
      </c>
      <c r="E1738" s="2831" t="s">
        <v>2166</v>
      </c>
    </row>
    <row r="1739" spans="1:5">
      <c r="A1739" s="2831">
        <v>707</v>
      </c>
      <c r="B1739" s="2831" t="s">
        <v>3936</v>
      </c>
      <c r="C1739" s="2831">
        <v>4050</v>
      </c>
      <c r="D1739" s="2831" t="s">
        <v>3948</v>
      </c>
      <c r="E1739" s="2831" t="s">
        <v>2174</v>
      </c>
    </row>
    <row r="1740" spans="1:5">
      <c r="A1740" s="2831">
        <v>707</v>
      </c>
      <c r="B1740" s="2831" t="s">
        <v>3936</v>
      </c>
      <c r="C1740" s="2831">
        <v>198</v>
      </c>
      <c r="D1740" s="2831" t="s">
        <v>3949</v>
      </c>
      <c r="E1740" s="2831" t="s">
        <v>2169</v>
      </c>
    </row>
    <row r="1741" spans="1:5">
      <c r="A1741" s="2831">
        <v>707</v>
      </c>
      <c r="B1741" s="2831" t="s">
        <v>3936</v>
      </c>
      <c r="C1741" s="2831">
        <v>123</v>
      </c>
      <c r="D1741" s="2831" t="s">
        <v>3950</v>
      </c>
      <c r="E1741" s="2831" t="s">
        <v>2174</v>
      </c>
    </row>
    <row r="1742" spans="1:5">
      <c r="A1742" s="2831">
        <v>707</v>
      </c>
      <c r="B1742" s="2831" t="s">
        <v>3936</v>
      </c>
      <c r="C1742" s="2831">
        <v>173</v>
      </c>
      <c r="D1742" s="2831" t="s">
        <v>3951</v>
      </c>
      <c r="E1742" s="2831" t="s">
        <v>2166</v>
      </c>
    </row>
    <row r="1743" spans="1:5">
      <c r="A1743" s="2831">
        <v>707</v>
      </c>
      <c r="B1743" s="2831" t="s">
        <v>3936</v>
      </c>
      <c r="C1743" s="2831">
        <v>102</v>
      </c>
      <c r="D1743" s="2831" t="s">
        <v>3952</v>
      </c>
      <c r="E1743" s="2831" t="s">
        <v>2174</v>
      </c>
    </row>
    <row r="1744" spans="1:5">
      <c r="A1744" s="2831">
        <v>707</v>
      </c>
      <c r="B1744" s="2831" t="s">
        <v>3936</v>
      </c>
      <c r="C1744" s="2831">
        <v>5050</v>
      </c>
      <c r="D1744" s="2831" t="s">
        <v>3953</v>
      </c>
      <c r="E1744" s="2831" t="s">
        <v>2174</v>
      </c>
    </row>
    <row r="1745" spans="1:5">
      <c r="A1745" s="2831">
        <v>707</v>
      </c>
      <c r="B1745" s="2831" t="s">
        <v>3936</v>
      </c>
      <c r="C1745" s="2831">
        <v>106</v>
      </c>
      <c r="D1745" s="2831" t="s">
        <v>3954</v>
      </c>
      <c r="E1745" s="2831" t="s">
        <v>2166</v>
      </c>
    </row>
    <row r="1746" spans="1:5">
      <c r="A1746" s="2831">
        <v>707</v>
      </c>
      <c r="B1746" s="2831" t="s">
        <v>3936</v>
      </c>
      <c r="C1746" s="2831">
        <v>111</v>
      </c>
      <c r="D1746" s="2831" t="s">
        <v>3955</v>
      </c>
      <c r="E1746" s="2831" t="s">
        <v>2166</v>
      </c>
    </row>
    <row r="1747" spans="1:5">
      <c r="A1747" s="2831">
        <v>707</v>
      </c>
      <c r="B1747" s="2831" t="s">
        <v>3936</v>
      </c>
      <c r="C1747" s="2831">
        <v>101</v>
      </c>
      <c r="D1747" s="2831" t="s">
        <v>3932</v>
      </c>
      <c r="E1747" s="2831" t="s">
        <v>2174</v>
      </c>
    </row>
    <row r="1748" spans="1:5">
      <c r="A1748" s="2831">
        <v>707</v>
      </c>
      <c r="B1748" s="2831" t="s">
        <v>3936</v>
      </c>
      <c r="C1748" s="2831">
        <v>298</v>
      </c>
      <c r="D1748" s="2831" t="s">
        <v>3956</v>
      </c>
      <c r="E1748" s="2831" t="s">
        <v>2169</v>
      </c>
    </row>
    <row r="1749" spans="1:5">
      <c r="A1749" s="2831">
        <v>708</v>
      </c>
      <c r="B1749" s="2831" t="s">
        <v>3957</v>
      </c>
      <c r="C1749" s="2831">
        <v>3050</v>
      </c>
      <c r="D1749" s="2831" t="s">
        <v>3958</v>
      </c>
      <c r="E1749" s="2831" t="s">
        <v>2174</v>
      </c>
    </row>
    <row r="1750" spans="1:5">
      <c r="A1750" s="2831">
        <v>708</v>
      </c>
      <c r="B1750" s="2831" t="s">
        <v>3957</v>
      </c>
      <c r="C1750" s="2831">
        <v>294</v>
      </c>
      <c r="D1750" s="2831" t="s">
        <v>3959</v>
      </c>
      <c r="E1750" s="2831" t="s">
        <v>2174</v>
      </c>
    </row>
    <row r="1751" spans="1:5">
      <c r="A1751" s="2831">
        <v>708</v>
      </c>
      <c r="B1751" s="2831" t="s">
        <v>3957</v>
      </c>
      <c r="C1751" s="2831">
        <v>295</v>
      </c>
      <c r="D1751" s="2831" t="s">
        <v>3960</v>
      </c>
      <c r="E1751" s="2831" t="s">
        <v>2174</v>
      </c>
    </row>
    <row r="1752" spans="1:5">
      <c r="A1752" s="2831">
        <v>708</v>
      </c>
      <c r="B1752" s="2831" t="s">
        <v>3957</v>
      </c>
      <c r="C1752" s="2831">
        <v>110</v>
      </c>
      <c r="D1752" s="2831" t="s">
        <v>3961</v>
      </c>
      <c r="E1752" s="2831" t="s">
        <v>2166</v>
      </c>
    </row>
    <row r="1753" spans="1:5">
      <c r="A1753" s="2831">
        <v>708</v>
      </c>
      <c r="B1753" s="2831" t="s">
        <v>3957</v>
      </c>
      <c r="C1753" s="2831">
        <v>197</v>
      </c>
      <c r="D1753" s="2831" t="s">
        <v>3962</v>
      </c>
      <c r="E1753" s="2831" t="s">
        <v>2174</v>
      </c>
    </row>
    <row r="1754" spans="1:5">
      <c r="A1754" s="2831">
        <v>708</v>
      </c>
      <c r="B1754" s="2831" t="s">
        <v>3957</v>
      </c>
      <c r="C1754" s="2831">
        <v>198</v>
      </c>
      <c r="D1754" s="2831" t="s">
        <v>3963</v>
      </c>
      <c r="E1754" s="2831" t="s">
        <v>2174</v>
      </c>
    </row>
    <row r="1755" spans="1:5">
      <c r="A1755" s="2831">
        <v>708</v>
      </c>
      <c r="B1755" s="2831" t="s">
        <v>3957</v>
      </c>
      <c r="C1755" s="2831">
        <v>105</v>
      </c>
      <c r="D1755" s="2831" t="s">
        <v>3964</v>
      </c>
      <c r="E1755" s="2831" t="s">
        <v>2174</v>
      </c>
    </row>
    <row r="1756" spans="1:5">
      <c r="A1756" s="2831">
        <v>708</v>
      </c>
      <c r="B1756" s="2831" t="s">
        <v>3957</v>
      </c>
      <c r="C1756" s="2831">
        <v>1050</v>
      </c>
      <c r="D1756" s="2831" t="s">
        <v>3965</v>
      </c>
      <c r="E1756" s="2831" t="s">
        <v>2166</v>
      </c>
    </row>
    <row r="1757" spans="1:5">
      <c r="A1757" s="2831">
        <v>708</v>
      </c>
      <c r="B1757" s="2831" t="s">
        <v>3957</v>
      </c>
      <c r="C1757" s="2831">
        <v>293</v>
      </c>
      <c r="D1757" s="2831" t="s">
        <v>3966</v>
      </c>
      <c r="E1757" s="2831" t="s">
        <v>2174</v>
      </c>
    </row>
    <row r="1758" spans="1:5">
      <c r="A1758" s="2831">
        <v>708</v>
      </c>
      <c r="B1758" s="2831" t="s">
        <v>3957</v>
      </c>
      <c r="C1758" s="2831">
        <v>193</v>
      </c>
      <c r="D1758" s="2831" t="s">
        <v>3967</v>
      </c>
      <c r="E1758" s="2831" t="s">
        <v>2174</v>
      </c>
    </row>
    <row r="1759" spans="1:5">
      <c r="A1759" s="2831">
        <v>708</v>
      </c>
      <c r="B1759" s="2831" t="s">
        <v>3957</v>
      </c>
      <c r="C1759" s="2831">
        <v>188</v>
      </c>
      <c r="D1759" s="2831" t="s">
        <v>3968</v>
      </c>
      <c r="E1759" s="2831" t="s">
        <v>2174</v>
      </c>
    </row>
    <row r="1760" spans="1:5">
      <c r="A1760" s="2831">
        <v>708</v>
      </c>
      <c r="B1760" s="2831" t="s">
        <v>3957</v>
      </c>
      <c r="C1760" s="2831">
        <v>103</v>
      </c>
      <c r="D1760" s="2831" t="s">
        <v>3969</v>
      </c>
      <c r="E1760" s="2831" t="s">
        <v>2166</v>
      </c>
    </row>
    <row r="1761" spans="1:5">
      <c r="A1761" s="2831">
        <v>709</v>
      </c>
      <c r="B1761" s="2831" t="s">
        <v>3970</v>
      </c>
      <c r="C1761" s="2831">
        <v>198</v>
      </c>
      <c r="D1761" s="2831" t="s">
        <v>3971</v>
      </c>
      <c r="E1761" s="2831" t="s">
        <v>2174</v>
      </c>
    </row>
    <row r="1762" spans="1:5">
      <c r="A1762" s="2831">
        <v>709</v>
      </c>
      <c r="B1762" s="2831" t="s">
        <v>3970</v>
      </c>
      <c r="C1762" s="2831">
        <v>2050</v>
      </c>
      <c r="D1762" s="2831" t="s">
        <v>3972</v>
      </c>
      <c r="E1762" s="2831" t="s">
        <v>2169</v>
      </c>
    </row>
    <row r="1763" spans="1:5">
      <c r="A1763" s="2831">
        <v>709</v>
      </c>
      <c r="B1763" s="2831" t="s">
        <v>3970</v>
      </c>
      <c r="C1763" s="2831">
        <v>112</v>
      </c>
      <c r="D1763" s="2831" t="s">
        <v>3973</v>
      </c>
      <c r="E1763" s="2831" t="s">
        <v>2166</v>
      </c>
    </row>
    <row r="1764" spans="1:5">
      <c r="A1764" s="2831">
        <v>709</v>
      </c>
      <c r="B1764" s="2831" t="s">
        <v>3970</v>
      </c>
      <c r="C1764" s="2831">
        <v>298</v>
      </c>
      <c r="D1764" s="2831" t="s">
        <v>3974</v>
      </c>
      <c r="E1764" s="2831" t="s">
        <v>2174</v>
      </c>
    </row>
    <row r="1765" spans="1:5">
      <c r="A1765" s="2831">
        <v>710</v>
      </c>
      <c r="B1765" s="2831" t="s">
        <v>3975</v>
      </c>
      <c r="C1765" s="2831">
        <v>299</v>
      </c>
      <c r="D1765" s="2831" t="s">
        <v>2911</v>
      </c>
      <c r="E1765" s="2831" t="s">
        <v>2169</v>
      </c>
    </row>
    <row r="1766" spans="1:5">
      <c r="A1766" s="2831">
        <v>710</v>
      </c>
      <c r="B1766" s="2831" t="s">
        <v>3975</v>
      </c>
      <c r="C1766" s="2831">
        <v>103</v>
      </c>
      <c r="D1766" s="2831" t="s">
        <v>3976</v>
      </c>
      <c r="E1766" s="2831" t="s">
        <v>2169</v>
      </c>
    </row>
    <row r="1767" spans="1:5">
      <c r="A1767" s="2831">
        <v>710</v>
      </c>
      <c r="B1767" s="2831" t="s">
        <v>3975</v>
      </c>
      <c r="C1767" s="2831">
        <v>110</v>
      </c>
      <c r="D1767" s="2831" t="s">
        <v>3977</v>
      </c>
      <c r="E1767" s="2831" t="s">
        <v>2166</v>
      </c>
    </row>
    <row r="1768" spans="1:5">
      <c r="A1768" s="2831">
        <v>710</v>
      </c>
      <c r="B1768" s="2831" t="s">
        <v>3975</v>
      </c>
      <c r="C1768" s="2831">
        <v>199</v>
      </c>
      <c r="D1768" s="2831" t="s">
        <v>3978</v>
      </c>
      <c r="E1768" s="2831" t="s">
        <v>2169</v>
      </c>
    </row>
    <row r="1769" spans="1:5">
      <c r="A1769" s="2831">
        <v>710</v>
      </c>
      <c r="B1769" s="2831" t="s">
        <v>3975</v>
      </c>
      <c r="C1769" s="2831">
        <v>410</v>
      </c>
      <c r="D1769" s="2831" t="s">
        <v>3979</v>
      </c>
      <c r="E1769" s="2831" t="s">
        <v>2166</v>
      </c>
    </row>
    <row r="1770" spans="1:5">
      <c r="A1770" s="2831">
        <v>710</v>
      </c>
      <c r="B1770" s="2831" t="s">
        <v>3975</v>
      </c>
      <c r="C1770" s="2831">
        <v>304</v>
      </c>
      <c r="D1770" s="2831" t="s">
        <v>3980</v>
      </c>
      <c r="E1770" s="2831" t="s">
        <v>2169</v>
      </c>
    </row>
    <row r="1771" spans="1:5">
      <c r="A1771" s="2831">
        <v>710</v>
      </c>
      <c r="B1771" s="2831" t="s">
        <v>3975</v>
      </c>
      <c r="C1771" s="2831">
        <v>1050</v>
      </c>
      <c r="D1771" s="2831" t="s">
        <v>3981</v>
      </c>
      <c r="E1771" s="2831" t="s">
        <v>2169</v>
      </c>
    </row>
    <row r="1772" spans="1:5">
      <c r="A1772" s="2831">
        <v>710</v>
      </c>
      <c r="B1772" s="2831" t="s">
        <v>3975</v>
      </c>
      <c r="C1772" s="2831">
        <v>292</v>
      </c>
      <c r="D1772" s="2831" t="s">
        <v>3982</v>
      </c>
      <c r="E1772" s="2831" t="s">
        <v>2169</v>
      </c>
    </row>
    <row r="1773" spans="1:5">
      <c r="A1773" s="2831">
        <v>710</v>
      </c>
      <c r="B1773" s="2831" t="s">
        <v>3975</v>
      </c>
      <c r="C1773" s="2831">
        <v>394</v>
      </c>
      <c r="D1773" s="2831" t="s">
        <v>3983</v>
      </c>
      <c r="E1773" s="2831" t="s">
        <v>2166</v>
      </c>
    </row>
    <row r="1774" spans="1:5">
      <c r="A1774" s="2831">
        <v>710</v>
      </c>
      <c r="B1774" s="2831" t="s">
        <v>3975</v>
      </c>
      <c r="C1774" s="2831">
        <v>194</v>
      </c>
      <c r="D1774" s="2831" t="s">
        <v>3984</v>
      </c>
      <c r="E1774" s="2831" t="s">
        <v>2169</v>
      </c>
    </row>
    <row r="1775" spans="1:5">
      <c r="A1775" s="2831">
        <v>710</v>
      </c>
      <c r="B1775" s="2831" t="s">
        <v>3975</v>
      </c>
      <c r="C1775" s="2831">
        <v>310</v>
      </c>
      <c r="D1775" s="2831" t="s">
        <v>3985</v>
      </c>
      <c r="E1775" s="2831" t="s">
        <v>2166</v>
      </c>
    </row>
    <row r="1776" spans="1:5">
      <c r="A1776" s="2831">
        <v>710</v>
      </c>
      <c r="B1776" s="2831" t="s">
        <v>3975</v>
      </c>
      <c r="C1776" s="2831">
        <v>2352</v>
      </c>
      <c r="D1776" s="2831" t="s">
        <v>3986</v>
      </c>
      <c r="E1776" s="2831" t="s">
        <v>2169</v>
      </c>
    </row>
    <row r="1777" spans="1:5">
      <c r="A1777" s="2831">
        <v>710</v>
      </c>
      <c r="B1777" s="2831" t="s">
        <v>3975</v>
      </c>
      <c r="C1777" s="2831">
        <v>5050</v>
      </c>
      <c r="D1777" s="2831" t="s">
        <v>3987</v>
      </c>
      <c r="E1777" s="2831" t="s">
        <v>2166</v>
      </c>
    </row>
    <row r="1778" spans="1:5">
      <c r="A1778" s="2831">
        <v>710</v>
      </c>
      <c r="B1778" s="2831" t="s">
        <v>3975</v>
      </c>
      <c r="C1778" s="2831">
        <v>101</v>
      </c>
      <c r="D1778" s="2831" t="s">
        <v>3988</v>
      </c>
      <c r="E1778" s="2831" t="s">
        <v>2169</v>
      </c>
    </row>
    <row r="1779" spans="1:5">
      <c r="A1779" s="2831">
        <v>710</v>
      </c>
      <c r="B1779" s="2831" t="s">
        <v>3975</v>
      </c>
      <c r="C1779" s="2831">
        <v>404</v>
      </c>
      <c r="D1779" s="2831" t="s">
        <v>3989</v>
      </c>
      <c r="E1779" s="2831" t="s">
        <v>2169</v>
      </c>
    </row>
    <row r="1780" spans="1:5">
      <c r="A1780" s="2831">
        <v>710</v>
      </c>
      <c r="B1780" s="2831" t="s">
        <v>3975</v>
      </c>
      <c r="C1780" s="2831">
        <v>297</v>
      </c>
      <c r="D1780" s="2831" t="s">
        <v>3990</v>
      </c>
      <c r="E1780" s="2831" t="s">
        <v>2169</v>
      </c>
    </row>
    <row r="1781" spans="1:5">
      <c r="A1781" s="2831">
        <v>710</v>
      </c>
      <c r="B1781" s="2831" t="s">
        <v>3975</v>
      </c>
      <c r="C1781" s="2831">
        <v>201</v>
      </c>
      <c r="D1781" s="2831" t="s">
        <v>3991</v>
      </c>
      <c r="E1781" s="2831" t="s">
        <v>2166</v>
      </c>
    </row>
    <row r="1782" spans="1:5">
      <c r="A1782" s="2831">
        <v>710</v>
      </c>
      <c r="B1782" s="2831" t="s">
        <v>3975</v>
      </c>
      <c r="C1782" s="2831">
        <v>104</v>
      </c>
      <c r="D1782" s="2831" t="s">
        <v>3992</v>
      </c>
      <c r="E1782" s="2831" t="s">
        <v>2169</v>
      </c>
    </row>
    <row r="1783" spans="1:5">
      <c r="A1783" s="2831">
        <v>710</v>
      </c>
      <c r="B1783" s="2831" t="s">
        <v>3975</v>
      </c>
      <c r="C1783" s="2831">
        <v>188</v>
      </c>
      <c r="D1783" s="2831" t="s">
        <v>3993</v>
      </c>
      <c r="E1783" s="2831" t="s">
        <v>2169</v>
      </c>
    </row>
    <row r="1784" spans="1:5">
      <c r="A1784" s="2831">
        <v>710</v>
      </c>
      <c r="B1784" s="2831" t="s">
        <v>3975</v>
      </c>
      <c r="C1784" s="2831">
        <v>198</v>
      </c>
      <c r="D1784" s="2831" t="s">
        <v>3994</v>
      </c>
      <c r="E1784" s="2831" t="s">
        <v>2169</v>
      </c>
    </row>
    <row r="1785" spans="1:5">
      <c r="A1785" s="2831">
        <v>710</v>
      </c>
      <c r="B1785" s="2831" t="s">
        <v>3975</v>
      </c>
      <c r="C1785" s="2831">
        <v>2052</v>
      </c>
      <c r="D1785" s="2831" t="s">
        <v>3995</v>
      </c>
      <c r="E1785" s="2831" t="s">
        <v>2166</v>
      </c>
    </row>
    <row r="1786" spans="1:5">
      <c r="A1786" s="2831">
        <v>710</v>
      </c>
      <c r="B1786" s="2831" t="s">
        <v>3975</v>
      </c>
      <c r="C1786" s="2831">
        <v>109</v>
      </c>
      <c r="D1786" s="2831" t="s">
        <v>3996</v>
      </c>
      <c r="E1786" s="2831" t="s">
        <v>2169</v>
      </c>
    </row>
    <row r="1787" spans="1:5">
      <c r="A1787" s="2831">
        <v>710</v>
      </c>
      <c r="B1787" s="2831" t="s">
        <v>3975</v>
      </c>
      <c r="C1787" s="2831">
        <v>294</v>
      </c>
      <c r="D1787" s="2831" t="s">
        <v>2870</v>
      </c>
      <c r="E1787" s="2831" t="s">
        <v>2169</v>
      </c>
    </row>
    <row r="1788" spans="1:5">
      <c r="A1788" s="2831">
        <v>710</v>
      </c>
      <c r="B1788" s="2831" t="s">
        <v>3975</v>
      </c>
      <c r="C1788" s="2831">
        <v>213</v>
      </c>
      <c r="D1788" s="2831" t="s">
        <v>3997</v>
      </c>
      <c r="E1788" s="2831" t="s">
        <v>2166</v>
      </c>
    </row>
    <row r="1789" spans="1:5">
      <c r="A1789" s="2831">
        <v>710</v>
      </c>
      <c r="B1789" s="2831" t="s">
        <v>3975</v>
      </c>
      <c r="C1789" s="2831">
        <v>2552</v>
      </c>
      <c r="D1789" s="2831" t="s">
        <v>3998</v>
      </c>
      <c r="E1789" s="2831" t="s">
        <v>2166</v>
      </c>
    </row>
    <row r="1790" spans="1:5">
      <c r="A1790" s="2831">
        <v>710</v>
      </c>
      <c r="B1790" s="2831" t="s">
        <v>3975</v>
      </c>
      <c r="C1790" s="2831">
        <v>204</v>
      </c>
      <c r="D1790" s="2831" t="s">
        <v>3999</v>
      </c>
      <c r="E1790" s="2831" t="s">
        <v>2166</v>
      </c>
    </row>
    <row r="1791" spans="1:5">
      <c r="A1791" s="2831">
        <v>710</v>
      </c>
      <c r="B1791" s="2831" t="s">
        <v>3975</v>
      </c>
      <c r="C1791" s="2831">
        <v>197</v>
      </c>
      <c r="D1791" s="2831" t="s">
        <v>4000</v>
      </c>
      <c r="E1791" s="2831" t="s">
        <v>2166</v>
      </c>
    </row>
    <row r="1792" spans="1:5">
      <c r="A1792" s="2831">
        <v>710</v>
      </c>
      <c r="B1792" s="2831" t="s">
        <v>3975</v>
      </c>
      <c r="C1792" s="2831">
        <v>108</v>
      </c>
      <c r="D1792" s="2831" t="s">
        <v>4001</v>
      </c>
      <c r="E1792" s="2831" t="s">
        <v>2169</v>
      </c>
    </row>
    <row r="1793" spans="1:5">
      <c r="A1793" s="2831">
        <v>710</v>
      </c>
      <c r="B1793" s="2831" t="s">
        <v>3975</v>
      </c>
      <c r="C1793" s="2831">
        <v>210</v>
      </c>
      <c r="D1793" s="2831" t="s">
        <v>4002</v>
      </c>
      <c r="E1793" s="2831" t="s">
        <v>2166</v>
      </c>
    </row>
    <row r="1794" spans="1:5">
      <c r="A1794" s="2831">
        <v>710</v>
      </c>
      <c r="B1794" s="2831" t="s">
        <v>3975</v>
      </c>
      <c r="C1794" s="2831">
        <v>106</v>
      </c>
      <c r="D1794" s="2831" t="s">
        <v>4003</v>
      </c>
      <c r="E1794" s="2831" t="s">
        <v>2169</v>
      </c>
    </row>
    <row r="1795" spans="1:5">
      <c r="A1795" s="2831">
        <v>710</v>
      </c>
      <c r="B1795" s="2831" t="s">
        <v>3975</v>
      </c>
      <c r="C1795" s="2831">
        <v>192</v>
      </c>
      <c r="D1795" s="2831" t="s">
        <v>4004</v>
      </c>
      <c r="E1795" s="2831" t="s">
        <v>2166</v>
      </c>
    </row>
    <row r="1796" spans="1:5">
      <c r="A1796" s="2831">
        <v>710</v>
      </c>
      <c r="B1796" s="2831" t="s">
        <v>3975</v>
      </c>
      <c r="C1796" s="2831">
        <v>4052</v>
      </c>
      <c r="D1796" s="2831" t="s">
        <v>2361</v>
      </c>
      <c r="E1796" s="2831" t="s">
        <v>2169</v>
      </c>
    </row>
    <row r="1797" spans="1:5">
      <c r="A1797" s="2831">
        <v>710</v>
      </c>
      <c r="B1797" s="2831" t="s">
        <v>3975</v>
      </c>
      <c r="C1797" s="2831">
        <v>113</v>
      </c>
      <c r="D1797" s="2831" t="s">
        <v>4005</v>
      </c>
      <c r="E1797" s="2831" t="s">
        <v>2169</v>
      </c>
    </row>
    <row r="1798" spans="1:5">
      <c r="A1798" s="2831">
        <v>711</v>
      </c>
      <c r="B1798" s="2831" t="s">
        <v>4006</v>
      </c>
      <c r="C1798" s="2831">
        <v>1050</v>
      </c>
      <c r="D1798" s="2831" t="s">
        <v>4007</v>
      </c>
      <c r="E1798" s="2831" t="s">
        <v>2166</v>
      </c>
    </row>
    <row r="1799" spans="1:5">
      <c r="A1799" s="2831">
        <v>711</v>
      </c>
      <c r="B1799" s="2831" t="s">
        <v>4006</v>
      </c>
      <c r="C1799" s="2831">
        <v>197</v>
      </c>
      <c r="D1799" s="2831" t="s">
        <v>4008</v>
      </c>
      <c r="E1799" s="2831" t="s">
        <v>2169</v>
      </c>
    </row>
    <row r="1800" spans="1:5">
      <c r="A1800" s="2831">
        <v>711</v>
      </c>
      <c r="B1800" s="2831" t="s">
        <v>4006</v>
      </c>
      <c r="C1800" s="2831">
        <v>191</v>
      </c>
      <c r="D1800" s="2831" t="s">
        <v>4009</v>
      </c>
      <c r="E1800" s="2831" t="s">
        <v>2174</v>
      </c>
    </row>
    <row r="1801" spans="1:5">
      <c r="A1801" s="2831">
        <v>711</v>
      </c>
      <c r="B1801" s="2831" t="s">
        <v>4006</v>
      </c>
      <c r="C1801" s="2831">
        <v>210</v>
      </c>
      <c r="D1801" s="2831" t="s">
        <v>4010</v>
      </c>
      <c r="E1801" s="2831" t="s">
        <v>2174</v>
      </c>
    </row>
    <row r="1802" spans="1:5">
      <c r="A1802" s="2831">
        <v>711</v>
      </c>
      <c r="B1802" s="2831" t="s">
        <v>4006</v>
      </c>
      <c r="C1802" s="2831">
        <v>110</v>
      </c>
      <c r="D1802" s="2831" t="s">
        <v>4011</v>
      </c>
      <c r="E1802" s="2831" t="s">
        <v>2169</v>
      </c>
    </row>
    <row r="1803" spans="1:5">
      <c r="A1803" s="2831">
        <v>711</v>
      </c>
      <c r="B1803" s="2831" t="s">
        <v>4006</v>
      </c>
      <c r="C1803" s="2831">
        <v>392</v>
      </c>
      <c r="D1803" s="2831" t="s">
        <v>4012</v>
      </c>
      <c r="E1803" s="2831" t="s">
        <v>2166</v>
      </c>
    </row>
    <row r="1804" spans="1:5">
      <c r="A1804" s="2831">
        <v>711</v>
      </c>
      <c r="B1804" s="2831" t="s">
        <v>4006</v>
      </c>
      <c r="C1804" s="2831">
        <v>2052</v>
      </c>
      <c r="D1804" s="2831" t="s">
        <v>4013</v>
      </c>
      <c r="E1804" s="2831" t="s">
        <v>2169</v>
      </c>
    </row>
    <row r="1805" spans="1:5">
      <c r="A1805" s="2831">
        <v>784</v>
      </c>
      <c r="B1805" s="2831" t="s">
        <v>4014</v>
      </c>
      <c r="C1805" s="2831">
        <v>201</v>
      </c>
      <c r="D1805" s="2831" t="s">
        <v>4015</v>
      </c>
      <c r="E1805" s="2831" t="s">
        <v>2174</v>
      </c>
    </row>
    <row r="1806" spans="1:5">
      <c r="A1806" s="2831">
        <v>784</v>
      </c>
      <c r="B1806" s="2831" t="s">
        <v>4014</v>
      </c>
      <c r="C1806" s="2831">
        <v>3050</v>
      </c>
      <c r="D1806" s="2831" t="s">
        <v>4016</v>
      </c>
      <c r="E1806" s="2831" t="s">
        <v>2166</v>
      </c>
    </row>
    <row r="1807" spans="1:5">
      <c r="A1807" s="2831">
        <v>784</v>
      </c>
      <c r="B1807" s="2831" t="s">
        <v>4014</v>
      </c>
      <c r="C1807" s="2831">
        <v>111</v>
      </c>
      <c r="D1807" s="2831" t="s">
        <v>4017</v>
      </c>
      <c r="E1807" s="2831" t="s">
        <v>2174</v>
      </c>
    </row>
    <row r="1808" spans="1:5">
      <c r="A1808" s="2831">
        <v>712</v>
      </c>
      <c r="B1808" s="2831" t="s">
        <v>4018</v>
      </c>
      <c r="C1808" s="2831">
        <v>106</v>
      </c>
      <c r="D1808" s="2831" t="s">
        <v>3461</v>
      </c>
      <c r="E1808" s="2831" t="s">
        <v>2166</v>
      </c>
    </row>
    <row r="1809" spans="1:5">
      <c r="A1809" s="2831">
        <v>712</v>
      </c>
      <c r="B1809" s="2831" t="s">
        <v>4018</v>
      </c>
      <c r="C1809" s="2831">
        <v>103</v>
      </c>
      <c r="D1809" s="2831" t="s">
        <v>4019</v>
      </c>
      <c r="E1809" s="2831" t="s">
        <v>2174</v>
      </c>
    </row>
    <row r="1810" spans="1:5">
      <c r="A1810" s="2831">
        <v>712</v>
      </c>
      <c r="B1810" s="2831" t="s">
        <v>4018</v>
      </c>
      <c r="C1810" s="2831">
        <v>203</v>
      </c>
      <c r="D1810" s="2831" t="s">
        <v>4020</v>
      </c>
      <c r="E1810" s="2831" t="s">
        <v>2166</v>
      </c>
    </row>
    <row r="1811" spans="1:5">
      <c r="A1811" s="2831">
        <v>712</v>
      </c>
      <c r="B1811" s="2831" t="s">
        <v>4018</v>
      </c>
      <c r="C1811" s="2831">
        <v>198</v>
      </c>
      <c r="D1811" s="2831" t="s">
        <v>4021</v>
      </c>
      <c r="E1811" s="2831" t="s">
        <v>2166</v>
      </c>
    </row>
    <row r="1812" spans="1:5">
      <c r="A1812" s="2831">
        <v>712</v>
      </c>
      <c r="B1812" s="2831" t="s">
        <v>4018</v>
      </c>
      <c r="C1812" s="2831">
        <v>189</v>
      </c>
      <c r="D1812" s="2831" t="s">
        <v>4022</v>
      </c>
      <c r="E1812" s="2831" t="s">
        <v>2169</v>
      </c>
    </row>
    <row r="1813" spans="1:5">
      <c r="A1813" s="2831">
        <v>712</v>
      </c>
      <c r="B1813" s="2831" t="s">
        <v>4018</v>
      </c>
      <c r="C1813" s="2831">
        <v>303</v>
      </c>
      <c r="D1813" s="2831" t="s">
        <v>4023</v>
      </c>
      <c r="E1813" s="2831" t="s">
        <v>2169</v>
      </c>
    </row>
    <row r="1814" spans="1:5">
      <c r="A1814" s="2831">
        <v>713</v>
      </c>
      <c r="B1814" s="2831" t="s">
        <v>4024</v>
      </c>
      <c r="C1814" s="2831">
        <v>297</v>
      </c>
      <c r="D1814" s="2831" t="s">
        <v>4025</v>
      </c>
      <c r="E1814" s="2831" t="s">
        <v>2174</v>
      </c>
    </row>
    <row r="1815" spans="1:5">
      <c r="A1815" s="2831">
        <v>713</v>
      </c>
      <c r="B1815" s="2831" t="s">
        <v>4024</v>
      </c>
      <c r="C1815" s="2831">
        <v>112</v>
      </c>
      <c r="D1815" s="2831" t="s">
        <v>3208</v>
      </c>
      <c r="E1815" s="2831" t="s">
        <v>2174</v>
      </c>
    </row>
    <row r="1816" spans="1:5">
      <c r="A1816" s="2831">
        <v>713</v>
      </c>
      <c r="B1816" s="2831" t="s">
        <v>4024</v>
      </c>
      <c r="C1816" s="2831">
        <v>4050</v>
      </c>
      <c r="D1816" s="2831" t="s">
        <v>4026</v>
      </c>
      <c r="E1816" s="2831" t="s">
        <v>2174</v>
      </c>
    </row>
    <row r="1817" spans="1:5">
      <c r="A1817" s="2831">
        <v>713</v>
      </c>
      <c r="B1817" s="2831" t="s">
        <v>4024</v>
      </c>
      <c r="C1817" s="2831">
        <v>182</v>
      </c>
      <c r="D1817" s="2831" t="s">
        <v>4027</v>
      </c>
      <c r="E1817" s="2831" t="s">
        <v>2174</v>
      </c>
    </row>
    <row r="1818" spans="1:5">
      <c r="A1818" s="2831">
        <v>713</v>
      </c>
      <c r="B1818" s="2831" t="s">
        <v>4024</v>
      </c>
      <c r="C1818" s="2831">
        <v>197</v>
      </c>
      <c r="D1818" s="2831" t="s">
        <v>4028</v>
      </c>
      <c r="E1818" s="2831" t="s">
        <v>2174</v>
      </c>
    </row>
    <row r="1819" spans="1:5">
      <c r="A1819" s="2831">
        <v>714</v>
      </c>
      <c r="B1819" s="2831" t="s">
        <v>4029</v>
      </c>
      <c r="C1819" s="2831">
        <v>101</v>
      </c>
      <c r="D1819" s="2831" t="s">
        <v>4030</v>
      </c>
      <c r="E1819" s="2831" t="s">
        <v>2174</v>
      </c>
    </row>
    <row r="1820" spans="1:5">
      <c r="A1820" s="2831">
        <v>714</v>
      </c>
      <c r="B1820" s="2831" t="s">
        <v>4029</v>
      </c>
      <c r="C1820" s="2831">
        <v>194</v>
      </c>
      <c r="D1820" s="2831" t="s">
        <v>4031</v>
      </c>
      <c r="E1820" s="2831" t="s">
        <v>2166</v>
      </c>
    </row>
    <row r="1821" spans="1:5">
      <c r="A1821" s="2831">
        <v>714</v>
      </c>
      <c r="B1821" s="2831" t="s">
        <v>4029</v>
      </c>
      <c r="C1821" s="2831">
        <v>195</v>
      </c>
      <c r="D1821" s="2831" t="s">
        <v>4032</v>
      </c>
      <c r="E1821" s="2831" t="s">
        <v>2166</v>
      </c>
    </row>
    <row r="1822" spans="1:5">
      <c r="A1822" s="2831">
        <v>714</v>
      </c>
      <c r="B1822" s="2831" t="s">
        <v>4029</v>
      </c>
      <c r="C1822" s="2831">
        <v>188</v>
      </c>
      <c r="D1822" s="2831" t="s">
        <v>4033</v>
      </c>
      <c r="E1822" s="2831" t="s">
        <v>2174</v>
      </c>
    </row>
    <row r="1823" spans="1:5">
      <c r="A1823" s="2831">
        <v>714</v>
      </c>
      <c r="B1823" s="2831" t="s">
        <v>4029</v>
      </c>
      <c r="C1823" s="2831">
        <v>296</v>
      </c>
      <c r="D1823" s="2831" t="s">
        <v>4034</v>
      </c>
      <c r="E1823" s="2831" t="s">
        <v>2174</v>
      </c>
    </row>
    <row r="1824" spans="1:5">
      <c r="A1824" s="2831">
        <v>715</v>
      </c>
      <c r="B1824" s="2831" t="s">
        <v>4035</v>
      </c>
      <c r="C1824" s="2831">
        <v>5050</v>
      </c>
      <c r="D1824" s="2831" t="s">
        <v>4036</v>
      </c>
      <c r="E1824" s="2831" t="s">
        <v>2174</v>
      </c>
    </row>
    <row r="1825" spans="1:5">
      <c r="A1825" s="2831">
        <v>715</v>
      </c>
      <c r="B1825" s="2831" t="s">
        <v>4035</v>
      </c>
      <c r="C1825" s="2831">
        <v>103</v>
      </c>
      <c r="D1825" s="2831" t="s">
        <v>4037</v>
      </c>
      <c r="E1825" s="2831" t="s">
        <v>2174</v>
      </c>
    </row>
    <row r="1826" spans="1:5">
      <c r="A1826" s="2831">
        <v>715</v>
      </c>
      <c r="B1826" s="2831" t="s">
        <v>4035</v>
      </c>
      <c r="C1826" s="2831">
        <v>183</v>
      </c>
      <c r="D1826" s="2831" t="s">
        <v>4038</v>
      </c>
      <c r="E1826" s="2831" t="s">
        <v>2169</v>
      </c>
    </row>
    <row r="1827" spans="1:5">
      <c r="A1827" s="2831">
        <v>715</v>
      </c>
      <c r="B1827" s="2831" t="s">
        <v>4035</v>
      </c>
      <c r="C1827" s="2831">
        <v>274</v>
      </c>
      <c r="D1827" s="2831" t="s">
        <v>2790</v>
      </c>
      <c r="E1827" s="2831" t="s">
        <v>2169</v>
      </c>
    </row>
    <row r="1828" spans="1:5">
      <c r="A1828" s="2831">
        <v>715</v>
      </c>
      <c r="B1828" s="2831" t="s">
        <v>4035</v>
      </c>
      <c r="C1828" s="2831">
        <v>188</v>
      </c>
      <c r="D1828" s="2831" t="s">
        <v>4039</v>
      </c>
      <c r="E1828" s="2831" t="s">
        <v>2166</v>
      </c>
    </row>
    <row r="1829" spans="1:5">
      <c r="A1829" s="2831">
        <v>715</v>
      </c>
      <c r="B1829" s="2831" t="s">
        <v>4035</v>
      </c>
      <c r="C1829" s="2831">
        <v>102</v>
      </c>
      <c r="D1829" s="2831" t="s">
        <v>4040</v>
      </c>
      <c r="E1829" s="2831" t="s">
        <v>2166</v>
      </c>
    </row>
    <row r="1830" spans="1:5">
      <c r="A1830" s="2831">
        <v>715</v>
      </c>
      <c r="B1830" s="2831" t="s">
        <v>4035</v>
      </c>
      <c r="C1830" s="2831">
        <v>104</v>
      </c>
      <c r="D1830" s="2831" t="s">
        <v>4041</v>
      </c>
      <c r="E1830" s="2831" t="s">
        <v>2169</v>
      </c>
    </row>
    <row r="1831" spans="1:5">
      <c r="A1831" s="2831">
        <v>715</v>
      </c>
      <c r="B1831" s="2831" t="s">
        <v>4035</v>
      </c>
      <c r="C1831" s="2831">
        <v>210</v>
      </c>
      <c r="D1831" s="2831" t="s">
        <v>4042</v>
      </c>
      <c r="E1831" s="2831" t="s">
        <v>2169</v>
      </c>
    </row>
    <row r="1832" spans="1:5">
      <c r="A1832" s="2831">
        <v>715</v>
      </c>
      <c r="B1832" s="2831" t="s">
        <v>4035</v>
      </c>
      <c r="C1832" s="2831">
        <v>174</v>
      </c>
      <c r="D1832" s="2831" t="s">
        <v>2796</v>
      </c>
      <c r="E1832" s="2831" t="s">
        <v>2166</v>
      </c>
    </row>
    <row r="1833" spans="1:5">
      <c r="A1833" s="2831">
        <v>715</v>
      </c>
      <c r="B1833" s="2831" t="s">
        <v>4035</v>
      </c>
      <c r="C1833" s="2831">
        <v>310</v>
      </c>
      <c r="D1833" s="2831" t="s">
        <v>4043</v>
      </c>
      <c r="E1833" s="2831" t="s">
        <v>2169</v>
      </c>
    </row>
    <row r="1834" spans="1:5">
      <c r="A1834" s="2831">
        <v>716</v>
      </c>
      <c r="B1834" s="2831" t="s">
        <v>4044</v>
      </c>
      <c r="C1834" s="2831">
        <v>2050</v>
      </c>
      <c r="D1834" s="2831" t="s">
        <v>4045</v>
      </c>
      <c r="E1834" s="2831" t="s">
        <v>2166</v>
      </c>
    </row>
    <row r="1835" spans="1:5">
      <c r="A1835" s="2831">
        <v>716</v>
      </c>
      <c r="B1835" s="2831" t="s">
        <v>4044</v>
      </c>
      <c r="C1835" s="2831">
        <v>3050</v>
      </c>
      <c r="D1835" s="2831" t="s">
        <v>4046</v>
      </c>
      <c r="E1835" s="2831" t="s">
        <v>2169</v>
      </c>
    </row>
    <row r="1836" spans="1:5">
      <c r="A1836" s="2831">
        <v>716</v>
      </c>
      <c r="B1836" s="2831" t="s">
        <v>4044</v>
      </c>
      <c r="C1836" s="2831">
        <v>195</v>
      </c>
      <c r="D1836" s="2831" t="s">
        <v>4047</v>
      </c>
      <c r="E1836" s="2831" t="s">
        <v>2169</v>
      </c>
    </row>
    <row r="1837" spans="1:5">
      <c r="A1837" s="2831">
        <v>717</v>
      </c>
      <c r="B1837" s="2831" t="s">
        <v>4048</v>
      </c>
      <c r="C1837" s="2831">
        <v>113</v>
      </c>
      <c r="D1837" s="2831" t="s">
        <v>4049</v>
      </c>
      <c r="E1837" s="2831" t="s">
        <v>2174</v>
      </c>
    </row>
    <row r="1838" spans="1:5">
      <c r="A1838" s="2831">
        <v>717</v>
      </c>
      <c r="B1838" s="2831" t="s">
        <v>4048</v>
      </c>
      <c r="C1838" s="2831">
        <v>114</v>
      </c>
      <c r="D1838" s="2831" t="s">
        <v>4050</v>
      </c>
      <c r="E1838" s="2831" t="s">
        <v>2166</v>
      </c>
    </row>
    <row r="1839" spans="1:5">
      <c r="A1839" s="2831">
        <v>717</v>
      </c>
      <c r="B1839" s="2831" t="s">
        <v>4048</v>
      </c>
      <c r="C1839" s="2831">
        <v>111</v>
      </c>
      <c r="D1839" s="2831" t="s">
        <v>4051</v>
      </c>
      <c r="E1839" s="2831" t="s">
        <v>2166</v>
      </c>
    </row>
    <row r="1840" spans="1:5">
      <c r="A1840" s="2831">
        <v>717</v>
      </c>
      <c r="B1840" s="2831" t="s">
        <v>4048</v>
      </c>
      <c r="C1840" s="2831">
        <v>112</v>
      </c>
      <c r="D1840" s="2831" t="s">
        <v>4052</v>
      </c>
      <c r="E1840" s="2831" t="s">
        <v>2166</v>
      </c>
    </row>
    <row r="1841" spans="1:5">
      <c r="A1841" s="2831">
        <v>718</v>
      </c>
      <c r="B1841" s="2831" t="s">
        <v>4053</v>
      </c>
      <c r="C1841" s="2831">
        <v>199</v>
      </c>
      <c r="D1841" s="2831" t="s">
        <v>4054</v>
      </c>
      <c r="E1841" s="2831" t="s">
        <v>2169</v>
      </c>
    </row>
    <row r="1842" spans="1:5">
      <c r="A1842" s="2831">
        <v>718</v>
      </c>
      <c r="B1842" s="2831" t="s">
        <v>4053</v>
      </c>
      <c r="C1842" s="2831">
        <v>110</v>
      </c>
      <c r="D1842" s="2831" t="s">
        <v>4055</v>
      </c>
      <c r="E1842" s="2831" t="s">
        <v>2169</v>
      </c>
    </row>
    <row r="1843" spans="1:5">
      <c r="A1843" s="2831">
        <v>719</v>
      </c>
      <c r="B1843" s="2831" t="s">
        <v>4056</v>
      </c>
      <c r="C1843" s="2831">
        <v>105</v>
      </c>
      <c r="D1843" s="2831" t="s">
        <v>4057</v>
      </c>
      <c r="E1843" s="2831" t="s">
        <v>2166</v>
      </c>
    </row>
    <row r="1844" spans="1:5">
      <c r="A1844" s="2831">
        <v>719</v>
      </c>
      <c r="B1844" s="2831" t="s">
        <v>4056</v>
      </c>
      <c r="C1844" s="2831">
        <v>177</v>
      </c>
      <c r="D1844" s="2831" t="s">
        <v>4058</v>
      </c>
      <c r="E1844" s="2831" t="s">
        <v>2174</v>
      </c>
    </row>
    <row r="1845" spans="1:5">
      <c r="A1845" s="2831">
        <v>719</v>
      </c>
      <c r="B1845" s="2831" t="s">
        <v>4056</v>
      </c>
      <c r="C1845" s="2831">
        <v>100</v>
      </c>
      <c r="D1845" s="2831" t="s">
        <v>4059</v>
      </c>
      <c r="E1845" s="2831" t="s">
        <v>2169</v>
      </c>
    </row>
    <row r="1846" spans="1:5">
      <c r="A1846" s="2831">
        <v>719</v>
      </c>
      <c r="B1846" s="2831" t="s">
        <v>4056</v>
      </c>
      <c r="C1846" s="2831">
        <v>114</v>
      </c>
      <c r="D1846" s="2831" t="s">
        <v>4060</v>
      </c>
      <c r="E1846" s="2831" t="s">
        <v>2166</v>
      </c>
    </row>
    <row r="1847" spans="1:5">
      <c r="A1847" s="2831">
        <v>720</v>
      </c>
      <c r="B1847" s="2831" t="s">
        <v>4061</v>
      </c>
      <c r="C1847" s="2831">
        <v>201</v>
      </c>
      <c r="D1847" s="2831" t="s">
        <v>4062</v>
      </c>
      <c r="E1847" s="2831" t="s">
        <v>2174</v>
      </c>
    </row>
    <row r="1848" spans="1:5">
      <c r="A1848" s="2831">
        <v>720</v>
      </c>
      <c r="B1848" s="2831" t="s">
        <v>4061</v>
      </c>
      <c r="C1848" s="2831">
        <v>2050</v>
      </c>
      <c r="D1848" s="2831" t="s">
        <v>4063</v>
      </c>
      <c r="E1848" s="2831" t="s">
        <v>2166</v>
      </c>
    </row>
    <row r="1849" spans="1:5">
      <c r="A1849" s="2831">
        <v>720</v>
      </c>
      <c r="B1849" s="2831" t="s">
        <v>4061</v>
      </c>
      <c r="C1849" s="2831">
        <v>101</v>
      </c>
      <c r="D1849" s="2831" t="s">
        <v>4064</v>
      </c>
      <c r="E1849" s="2831" t="s">
        <v>2166</v>
      </c>
    </row>
    <row r="1850" spans="1:5">
      <c r="A1850" s="2831">
        <v>721</v>
      </c>
      <c r="B1850" s="2831" t="s">
        <v>4065</v>
      </c>
      <c r="C1850" s="2831">
        <v>4060</v>
      </c>
      <c r="D1850" s="2831" t="s">
        <v>4066</v>
      </c>
      <c r="E1850" s="2831" t="s">
        <v>2169</v>
      </c>
    </row>
    <row r="1851" spans="1:5">
      <c r="A1851" s="2831">
        <v>721</v>
      </c>
      <c r="B1851" s="2831" t="s">
        <v>4065</v>
      </c>
      <c r="C1851" s="2831">
        <v>2050</v>
      </c>
      <c r="D1851" s="2831" t="s">
        <v>4067</v>
      </c>
      <c r="E1851" s="2831" t="s">
        <v>2169</v>
      </c>
    </row>
    <row r="1852" spans="1:5">
      <c r="A1852" s="2831">
        <v>721</v>
      </c>
      <c r="B1852" s="2831" t="s">
        <v>4065</v>
      </c>
      <c r="C1852" s="2831">
        <v>3050</v>
      </c>
      <c r="D1852" s="2831" t="s">
        <v>4068</v>
      </c>
      <c r="E1852" s="2831" t="s">
        <v>2166</v>
      </c>
    </row>
    <row r="1853" spans="1:5">
      <c r="A1853" s="2831">
        <v>721</v>
      </c>
      <c r="B1853" s="2831" t="s">
        <v>4065</v>
      </c>
      <c r="C1853" s="2831">
        <v>394</v>
      </c>
      <c r="D1853" s="2831" t="s">
        <v>4069</v>
      </c>
      <c r="E1853" s="2831" t="s">
        <v>2169</v>
      </c>
    </row>
    <row r="1854" spans="1:5">
      <c r="A1854" s="2831">
        <v>721</v>
      </c>
      <c r="B1854" s="2831" t="s">
        <v>4065</v>
      </c>
      <c r="C1854" s="2831">
        <v>4050</v>
      </c>
      <c r="D1854" s="2831" t="s">
        <v>4070</v>
      </c>
      <c r="E1854" s="2831" t="s">
        <v>2166</v>
      </c>
    </row>
    <row r="1855" spans="1:5">
      <c r="A1855" s="2831">
        <v>721</v>
      </c>
      <c r="B1855" s="2831" t="s">
        <v>4065</v>
      </c>
      <c r="C1855" s="2831">
        <v>1052</v>
      </c>
      <c r="D1855" s="2831" t="s">
        <v>4071</v>
      </c>
      <c r="E1855" s="2831" t="s">
        <v>2169</v>
      </c>
    </row>
    <row r="1856" spans="1:5">
      <c r="A1856" s="2831">
        <v>721</v>
      </c>
      <c r="B1856" s="2831" t="s">
        <v>4065</v>
      </c>
      <c r="C1856" s="2831">
        <v>2052</v>
      </c>
      <c r="D1856" s="2831" t="s">
        <v>4072</v>
      </c>
      <c r="E1856" s="2831" t="s">
        <v>2174</v>
      </c>
    </row>
    <row r="1857" spans="1:5">
      <c r="A1857" s="2831">
        <v>721</v>
      </c>
      <c r="B1857" s="2831" t="s">
        <v>4065</v>
      </c>
      <c r="C1857" s="2831">
        <v>100</v>
      </c>
      <c r="D1857" s="2831" t="s">
        <v>4073</v>
      </c>
      <c r="E1857" s="2831" t="s">
        <v>2169</v>
      </c>
    </row>
    <row r="1858" spans="1:5">
      <c r="A1858" s="2831">
        <v>721</v>
      </c>
      <c r="B1858" s="2831" t="s">
        <v>4065</v>
      </c>
      <c r="C1858" s="2831">
        <v>4562</v>
      </c>
      <c r="D1858" s="2831" t="s">
        <v>4074</v>
      </c>
      <c r="E1858" s="2831" t="s">
        <v>2166</v>
      </c>
    </row>
    <row r="1859" spans="1:5">
      <c r="A1859" s="2831">
        <v>721</v>
      </c>
      <c r="B1859" s="2831" t="s">
        <v>4065</v>
      </c>
      <c r="C1859" s="2831">
        <v>105</v>
      </c>
      <c r="D1859" s="2831" t="s">
        <v>4075</v>
      </c>
      <c r="E1859" s="2831" t="s">
        <v>2169</v>
      </c>
    </row>
    <row r="1860" spans="1:5">
      <c r="A1860" s="2831">
        <v>721</v>
      </c>
      <c r="B1860" s="2831" t="s">
        <v>4065</v>
      </c>
      <c r="C1860" s="2831">
        <v>205</v>
      </c>
      <c r="D1860" s="2831" t="s">
        <v>4076</v>
      </c>
      <c r="E1860" s="2831" t="s">
        <v>2169</v>
      </c>
    </row>
    <row r="1861" spans="1:5">
      <c r="A1861" s="2831">
        <v>721</v>
      </c>
      <c r="B1861" s="2831" t="s">
        <v>4065</v>
      </c>
      <c r="C1861" s="2831">
        <v>5054</v>
      </c>
      <c r="D1861" s="2831" t="s">
        <v>4077</v>
      </c>
      <c r="E1861" s="2831" t="s">
        <v>2166</v>
      </c>
    </row>
    <row r="1862" spans="1:5">
      <c r="A1862" s="2831">
        <v>721</v>
      </c>
      <c r="B1862" s="2831" t="s">
        <v>4065</v>
      </c>
      <c r="C1862" s="2831">
        <v>103</v>
      </c>
      <c r="D1862" s="2831" t="s">
        <v>4078</v>
      </c>
      <c r="E1862" s="2831" t="s">
        <v>2166</v>
      </c>
    </row>
    <row r="1863" spans="1:5">
      <c r="A1863" s="2831">
        <v>721</v>
      </c>
      <c r="B1863" s="2831" t="s">
        <v>4065</v>
      </c>
      <c r="C1863" s="2831">
        <v>1054</v>
      </c>
      <c r="D1863" s="2831" t="s">
        <v>4079</v>
      </c>
      <c r="E1863" s="2831" t="s">
        <v>2169</v>
      </c>
    </row>
    <row r="1864" spans="1:5">
      <c r="A1864" s="2831">
        <v>721</v>
      </c>
      <c r="B1864" s="2831" t="s">
        <v>4065</v>
      </c>
      <c r="C1864" s="2831">
        <v>2054</v>
      </c>
      <c r="D1864" s="2831" t="s">
        <v>4080</v>
      </c>
      <c r="E1864" s="2831" t="s">
        <v>2169</v>
      </c>
    </row>
    <row r="1865" spans="1:5">
      <c r="A1865" s="2831">
        <v>721</v>
      </c>
      <c r="B1865" s="2831" t="s">
        <v>4065</v>
      </c>
      <c r="C1865" s="2831">
        <v>3054</v>
      </c>
      <c r="D1865" s="2831" t="s">
        <v>4081</v>
      </c>
      <c r="E1865" s="2831" t="s">
        <v>2169</v>
      </c>
    </row>
    <row r="1866" spans="1:5">
      <c r="A1866" s="2831">
        <v>721</v>
      </c>
      <c r="B1866" s="2831" t="s">
        <v>4065</v>
      </c>
      <c r="C1866" s="2831">
        <v>197</v>
      </c>
      <c r="D1866" s="2831" t="s">
        <v>4082</v>
      </c>
      <c r="E1866" s="2831" t="s">
        <v>2169</v>
      </c>
    </row>
    <row r="1867" spans="1:5">
      <c r="A1867" s="2831">
        <v>721</v>
      </c>
      <c r="B1867" s="2831" t="s">
        <v>4065</v>
      </c>
      <c r="C1867" s="2831">
        <v>194</v>
      </c>
      <c r="D1867" s="2831" t="s">
        <v>4083</v>
      </c>
      <c r="E1867" s="2831" t="s">
        <v>2169</v>
      </c>
    </row>
    <row r="1868" spans="1:5">
      <c r="A1868" s="2831">
        <v>721</v>
      </c>
      <c r="B1868" s="2831" t="s">
        <v>4065</v>
      </c>
      <c r="C1868" s="2831">
        <v>4054</v>
      </c>
      <c r="D1868" s="2831" t="s">
        <v>4084</v>
      </c>
      <c r="E1868" s="2831" t="s">
        <v>2166</v>
      </c>
    </row>
    <row r="1869" spans="1:5">
      <c r="A1869" s="2831">
        <v>721</v>
      </c>
      <c r="B1869" s="2831" t="s">
        <v>4065</v>
      </c>
      <c r="C1869" s="2831">
        <v>102</v>
      </c>
      <c r="D1869" s="2831" t="s">
        <v>4085</v>
      </c>
      <c r="E1869" s="2831" t="s">
        <v>2169</v>
      </c>
    </row>
    <row r="1870" spans="1:5">
      <c r="A1870" s="2831">
        <v>721</v>
      </c>
      <c r="B1870" s="2831" t="s">
        <v>4065</v>
      </c>
      <c r="C1870" s="2831">
        <v>2056</v>
      </c>
      <c r="D1870" s="2831" t="s">
        <v>4086</v>
      </c>
      <c r="E1870" s="2831" t="s">
        <v>2169</v>
      </c>
    </row>
    <row r="1871" spans="1:5">
      <c r="A1871" s="2831">
        <v>721</v>
      </c>
      <c r="B1871" s="2831" t="s">
        <v>4065</v>
      </c>
      <c r="C1871" s="2831">
        <v>1156</v>
      </c>
      <c r="D1871" s="2831" t="s">
        <v>4087</v>
      </c>
      <c r="E1871" s="2831" t="s">
        <v>2166</v>
      </c>
    </row>
    <row r="1872" spans="1:5">
      <c r="A1872" s="2831">
        <v>721</v>
      </c>
      <c r="B1872" s="2831" t="s">
        <v>4065</v>
      </c>
      <c r="C1872" s="2831">
        <v>189</v>
      </c>
      <c r="D1872" s="2831" t="s">
        <v>4088</v>
      </c>
      <c r="E1872" s="2831" t="s">
        <v>2166</v>
      </c>
    </row>
    <row r="1873" spans="1:5">
      <c r="A1873" s="2831">
        <v>721</v>
      </c>
      <c r="B1873" s="2831" t="s">
        <v>4065</v>
      </c>
      <c r="C1873" s="2831">
        <v>301</v>
      </c>
      <c r="D1873" s="2831" t="s">
        <v>4089</v>
      </c>
      <c r="E1873" s="2831" t="s">
        <v>2166</v>
      </c>
    </row>
    <row r="1874" spans="1:5">
      <c r="A1874" s="2831">
        <v>721</v>
      </c>
      <c r="B1874" s="2831" t="s">
        <v>4065</v>
      </c>
      <c r="C1874" s="2831">
        <v>3556</v>
      </c>
      <c r="D1874" s="2831" t="s">
        <v>4090</v>
      </c>
      <c r="E1874" s="2831" t="s">
        <v>2166</v>
      </c>
    </row>
    <row r="1875" spans="1:5">
      <c r="A1875" s="2831">
        <v>721</v>
      </c>
      <c r="B1875" s="2831" t="s">
        <v>4065</v>
      </c>
      <c r="C1875" s="2831">
        <v>3756</v>
      </c>
      <c r="D1875" s="2831" t="s">
        <v>4091</v>
      </c>
      <c r="E1875" s="2831" t="s">
        <v>2169</v>
      </c>
    </row>
    <row r="1876" spans="1:5">
      <c r="A1876" s="2831">
        <v>721</v>
      </c>
      <c r="B1876" s="2831" t="s">
        <v>4065</v>
      </c>
      <c r="C1876" s="2831">
        <v>300</v>
      </c>
      <c r="D1876" s="2831" t="s">
        <v>4092</v>
      </c>
      <c r="E1876" s="2831" t="s">
        <v>2169</v>
      </c>
    </row>
    <row r="1877" spans="1:5">
      <c r="A1877" s="2831">
        <v>721</v>
      </c>
      <c r="B1877" s="2831" t="s">
        <v>4065</v>
      </c>
      <c r="C1877" s="2831">
        <v>116</v>
      </c>
      <c r="D1877" s="2831" t="s">
        <v>4093</v>
      </c>
      <c r="E1877" s="2831" t="s">
        <v>2166</v>
      </c>
    </row>
    <row r="1878" spans="1:5">
      <c r="A1878" s="2831">
        <v>721</v>
      </c>
      <c r="B1878" s="2831" t="s">
        <v>4065</v>
      </c>
      <c r="C1878" s="2831">
        <v>5566</v>
      </c>
      <c r="D1878" s="2831" t="s">
        <v>4094</v>
      </c>
      <c r="E1878" s="2831" t="s">
        <v>2166</v>
      </c>
    </row>
    <row r="1879" spans="1:5">
      <c r="A1879" s="2831">
        <v>721</v>
      </c>
      <c r="B1879" s="2831" t="s">
        <v>4065</v>
      </c>
      <c r="C1879" s="2831">
        <v>1058</v>
      </c>
      <c r="D1879" s="2831" t="s">
        <v>4095</v>
      </c>
      <c r="E1879" s="2831" t="s">
        <v>2169</v>
      </c>
    </row>
    <row r="1880" spans="1:5">
      <c r="A1880" s="2831">
        <v>721</v>
      </c>
      <c r="B1880" s="2831" t="s">
        <v>4065</v>
      </c>
      <c r="C1880" s="2831">
        <v>297</v>
      </c>
      <c r="D1880" s="2831" t="s">
        <v>4096</v>
      </c>
      <c r="E1880" s="2831" t="s">
        <v>2166</v>
      </c>
    </row>
    <row r="1881" spans="1:5">
      <c r="A1881" s="2831">
        <v>721</v>
      </c>
      <c r="B1881" s="2831" t="s">
        <v>4065</v>
      </c>
      <c r="C1881" s="2831">
        <v>177</v>
      </c>
      <c r="D1881" s="2831" t="s">
        <v>4097</v>
      </c>
      <c r="E1881" s="2831" t="s">
        <v>2166</v>
      </c>
    </row>
    <row r="1882" spans="1:5">
      <c r="A1882" s="2831">
        <v>721</v>
      </c>
      <c r="B1882" s="2831" t="s">
        <v>4065</v>
      </c>
      <c r="C1882" s="2831">
        <v>2058</v>
      </c>
      <c r="D1882" s="2831" t="s">
        <v>4098</v>
      </c>
      <c r="E1882" s="2831" t="s">
        <v>2166</v>
      </c>
    </row>
    <row r="1883" spans="1:5">
      <c r="A1883" s="2831">
        <v>721</v>
      </c>
      <c r="B1883" s="2831" t="s">
        <v>4065</v>
      </c>
      <c r="C1883" s="2831">
        <v>4058</v>
      </c>
      <c r="D1883" s="2831" t="s">
        <v>4099</v>
      </c>
      <c r="E1883" s="2831" t="s">
        <v>2169</v>
      </c>
    </row>
    <row r="1884" spans="1:5">
      <c r="A1884" s="2831">
        <v>721</v>
      </c>
      <c r="B1884" s="2831" t="s">
        <v>4065</v>
      </c>
      <c r="C1884" s="2831">
        <v>5058</v>
      </c>
      <c r="D1884" s="2831" t="s">
        <v>4100</v>
      </c>
      <c r="E1884" s="2831" t="s">
        <v>2166</v>
      </c>
    </row>
    <row r="1885" spans="1:5">
      <c r="A1885" s="2831">
        <v>721</v>
      </c>
      <c r="B1885" s="2831" t="s">
        <v>4065</v>
      </c>
      <c r="C1885" s="2831">
        <v>114</v>
      </c>
      <c r="D1885" s="2831" t="s">
        <v>4101</v>
      </c>
      <c r="E1885" s="2831" t="s">
        <v>2174</v>
      </c>
    </row>
    <row r="1886" spans="1:5">
      <c r="A1886" s="2831">
        <v>721</v>
      </c>
      <c r="B1886" s="2831" t="s">
        <v>4065</v>
      </c>
      <c r="C1886" s="2831">
        <v>213</v>
      </c>
      <c r="D1886" s="2831" t="s">
        <v>4102</v>
      </c>
      <c r="E1886" s="2831" t="s">
        <v>2174</v>
      </c>
    </row>
    <row r="1887" spans="1:5">
      <c r="A1887" s="2831">
        <v>721</v>
      </c>
      <c r="B1887" s="2831" t="s">
        <v>4065</v>
      </c>
      <c r="C1887" s="2831">
        <v>397</v>
      </c>
      <c r="D1887" s="2831" t="s">
        <v>4103</v>
      </c>
      <c r="E1887" s="2831" t="s">
        <v>2169</v>
      </c>
    </row>
    <row r="1888" spans="1:5">
      <c r="A1888" s="2831">
        <v>721</v>
      </c>
      <c r="B1888" s="2831" t="s">
        <v>4065</v>
      </c>
      <c r="C1888" s="2831">
        <v>390</v>
      </c>
      <c r="D1888" s="2831" t="s">
        <v>4104</v>
      </c>
      <c r="E1888" s="2831" t="s">
        <v>2166</v>
      </c>
    </row>
    <row r="1889" spans="1:5">
      <c r="A1889" s="2831">
        <v>721</v>
      </c>
      <c r="B1889" s="2831" t="s">
        <v>4065</v>
      </c>
      <c r="C1889" s="2831">
        <v>201</v>
      </c>
      <c r="D1889" s="2831" t="s">
        <v>4105</v>
      </c>
      <c r="E1889" s="2831" t="s">
        <v>2169</v>
      </c>
    </row>
    <row r="1890" spans="1:5">
      <c r="A1890" s="2831">
        <v>721</v>
      </c>
      <c r="B1890" s="2831" t="s">
        <v>4065</v>
      </c>
      <c r="C1890" s="2831">
        <v>294</v>
      </c>
      <c r="D1890" s="2831" t="s">
        <v>4106</v>
      </c>
      <c r="E1890" s="2831" t="s">
        <v>2169</v>
      </c>
    </row>
    <row r="1891" spans="1:5">
      <c r="A1891" s="2831">
        <v>721</v>
      </c>
      <c r="B1891" s="2831" t="s">
        <v>4065</v>
      </c>
      <c r="C1891" s="2831">
        <v>5564</v>
      </c>
      <c r="D1891" s="2831" t="s">
        <v>4107</v>
      </c>
      <c r="E1891" s="2831" t="s">
        <v>2169</v>
      </c>
    </row>
    <row r="1892" spans="1:5">
      <c r="A1892" s="2831">
        <v>721</v>
      </c>
      <c r="B1892" s="2831" t="s">
        <v>4065</v>
      </c>
      <c r="C1892" s="2831">
        <v>393</v>
      </c>
      <c r="D1892" s="2831" t="s">
        <v>4108</v>
      </c>
      <c r="E1892" s="2831" t="s">
        <v>2169</v>
      </c>
    </row>
    <row r="1893" spans="1:5">
      <c r="A1893" s="2831">
        <v>721</v>
      </c>
      <c r="B1893" s="2831" t="s">
        <v>4065</v>
      </c>
      <c r="C1893" s="2831">
        <v>115</v>
      </c>
      <c r="D1893" s="2831" t="s">
        <v>4109</v>
      </c>
      <c r="E1893" s="2831" t="s">
        <v>2166</v>
      </c>
    </row>
    <row r="1894" spans="1:5">
      <c r="A1894" s="2831">
        <v>721</v>
      </c>
      <c r="B1894" s="2831" t="s">
        <v>4065</v>
      </c>
      <c r="C1894" s="2831">
        <v>1064</v>
      </c>
      <c r="D1894" s="2831" t="s">
        <v>4110</v>
      </c>
      <c r="E1894" s="2831" t="s">
        <v>2166</v>
      </c>
    </row>
    <row r="1895" spans="1:5">
      <c r="A1895" s="2831">
        <v>721</v>
      </c>
      <c r="B1895" s="2831" t="s">
        <v>4065</v>
      </c>
      <c r="C1895" s="2831">
        <v>2064</v>
      </c>
      <c r="D1895" s="2831" t="s">
        <v>4111</v>
      </c>
      <c r="E1895" s="2831" t="s">
        <v>2166</v>
      </c>
    </row>
    <row r="1896" spans="1:5">
      <c r="A1896" s="2831">
        <v>721</v>
      </c>
      <c r="B1896" s="2831" t="s">
        <v>4065</v>
      </c>
      <c r="C1896" s="2831">
        <v>2574</v>
      </c>
      <c r="D1896" s="2831" t="s">
        <v>2366</v>
      </c>
      <c r="E1896" s="2831" t="s">
        <v>2169</v>
      </c>
    </row>
    <row r="1897" spans="1:5">
      <c r="A1897" s="2831">
        <v>721</v>
      </c>
      <c r="B1897" s="2831" t="s">
        <v>4065</v>
      </c>
      <c r="C1897" s="2831">
        <v>4064</v>
      </c>
      <c r="D1897" s="2831" t="s">
        <v>4112</v>
      </c>
      <c r="E1897" s="2831" t="s">
        <v>2169</v>
      </c>
    </row>
    <row r="1898" spans="1:5">
      <c r="A1898" s="2831">
        <v>721</v>
      </c>
      <c r="B1898" s="2831" t="s">
        <v>4065</v>
      </c>
      <c r="C1898" s="2831">
        <v>104</v>
      </c>
      <c r="D1898" s="2831" t="s">
        <v>4113</v>
      </c>
      <c r="E1898" s="2831" t="s">
        <v>2174</v>
      </c>
    </row>
    <row r="1899" spans="1:5">
      <c r="A1899" s="2831">
        <v>722</v>
      </c>
      <c r="B1899" s="2831" t="s">
        <v>4114</v>
      </c>
      <c r="C1899" s="2831">
        <v>178</v>
      </c>
      <c r="D1899" s="2831" t="s">
        <v>4115</v>
      </c>
      <c r="E1899" s="2831" t="s">
        <v>2166</v>
      </c>
    </row>
    <row r="1900" spans="1:5">
      <c r="A1900" s="2831">
        <v>722</v>
      </c>
      <c r="B1900" s="2831" t="s">
        <v>4114</v>
      </c>
      <c r="C1900" s="2831">
        <v>278</v>
      </c>
      <c r="D1900" s="2831" t="s">
        <v>4116</v>
      </c>
      <c r="E1900" s="2831" t="s">
        <v>2174</v>
      </c>
    </row>
    <row r="1901" spans="1:5">
      <c r="A1901" s="2831">
        <v>722</v>
      </c>
      <c r="B1901" s="2831" t="s">
        <v>4114</v>
      </c>
      <c r="C1901" s="2831">
        <v>378</v>
      </c>
      <c r="D1901" s="2831" t="s">
        <v>4117</v>
      </c>
      <c r="E1901" s="2831" t="s">
        <v>2166</v>
      </c>
    </row>
    <row r="1902" spans="1:5">
      <c r="A1902" s="2831">
        <v>722</v>
      </c>
      <c r="B1902" s="2831" t="s">
        <v>4114</v>
      </c>
      <c r="C1902" s="2831">
        <v>2050</v>
      </c>
      <c r="D1902" s="2831" t="s">
        <v>2957</v>
      </c>
      <c r="E1902" s="2831" t="s">
        <v>2166</v>
      </c>
    </row>
    <row r="1903" spans="1:5">
      <c r="A1903" s="2831">
        <v>722</v>
      </c>
      <c r="B1903" s="2831" t="s">
        <v>4114</v>
      </c>
      <c r="C1903" s="2831">
        <v>107</v>
      </c>
      <c r="D1903" s="2831" t="s">
        <v>4118</v>
      </c>
      <c r="E1903" s="2831" t="s">
        <v>2174</v>
      </c>
    </row>
    <row r="1904" spans="1:5">
      <c r="A1904" s="2831">
        <v>722</v>
      </c>
      <c r="B1904" s="2831" t="s">
        <v>4114</v>
      </c>
      <c r="C1904" s="2831">
        <v>176</v>
      </c>
      <c r="D1904" s="2831" t="s">
        <v>2502</v>
      </c>
      <c r="E1904" s="2831" t="s">
        <v>2166</v>
      </c>
    </row>
    <row r="1905" spans="1:5">
      <c r="A1905" s="2831">
        <v>722</v>
      </c>
      <c r="B1905" s="2831" t="s">
        <v>4114</v>
      </c>
      <c r="C1905" s="2831">
        <v>110</v>
      </c>
      <c r="D1905" s="2831" t="s">
        <v>4119</v>
      </c>
      <c r="E1905" s="2831" t="s">
        <v>2174</v>
      </c>
    </row>
    <row r="1906" spans="1:5">
      <c r="A1906" s="2831">
        <v>722</v>
      </c>
      <c r="B1906" s="2831" t="s">
        <v>4114</v>
      </c>
      <c r="C1906" s="2831">
        <v>289</v>
      </c>
      <c r="D1906" s="2831" t="s">
        <v>4120</v>
      </c>
      <c r="E1906" s="2831" t="s">
        <v>2166</v>
      </c>
    </row>
    <row r="1907" spans="1:5">
      <c r="A1907" s="2831">
        <v>722</v>
      </c>
      <c r="B1907" s="2831" t="s">
        <v>4114</v>
      </c>
      <c r="C1907" s="2831">
        <v>174</v>
      </c>
      <c r="D1907" s="2831" t="s">
        <v>4121</v>
      </c>
      <c r="E1907" s="2831" t="s">
        <v>2166</v>
      </c>
    </row>
    <row r="1908" spans="1:5">
      <c r="A1908" s="2831">
        <v>722</v>
      </c>
      <c r="B1908" s="2831" t="s">
        <v>4114</v>
      </c>
      <c r="C1908" s="2831">
        <v>5050</v>
      </c>
      <c r="D1908" s="2831" t="s">
        <v>4122</v>
      </c>
      <c r="E1908" s="2831" t="s">
        <v>2166</v>
      </c>
    </row>
    <row r="1909" spans="1:5">
      <c r="A1909" s="2831">
        <v>722</v>
      </c>
      <c r="B1909" s="2831" t="s">
        <v>4114</v>
      </c>
      <c r="C1909" s="2831">
        <v>197</v>
      </c>
      <c r="D1909" s="2831" t="s">
        <v>4123</v>
      </c>
      <c r="E1909" s="2831" t="s">
        <v>2169</v>
      </c>
    </row>
    <row r="1910" spans="1:5">
      <c r="A1910" s="2831">
        <v>722</v>
      </c>
      <c r="B1910" s="2831" t="s">
        <v>4114</v>
      </c>
      <c r="C1910" s="2831">
        <v>294</v>
      </c>
      <c r="D1910" s="2831" t="s">
        <v>4124</v>
      </c>
      <c r="E1910" s="2831" t="s">
        <v>2174</v>
      </c>
    </row>
    <row r="1911" spans="1:5">
      <c r="A1911" s="2831">
        <v>722</v>
      </c>
      <c r="B1911" s="2831" t="s">
        <v>4114</v>
      </c>
      <c r="C1911" s="2831">
        <v>102</v>
      </c>
      <c r="D1911" s="2831" t="s">
        <v>4125</v>
      </c>
      <c r="E1911" s="2831" t="s">
        <v>2174</v>
      </c>
    </row>
    <row r="1912" spans="1:5">
      <c r="A1912" s="2831">
        <v>722</v>
      </c>
      <c r="B1912" s="2831" t="s">
        <v>4114</v>
      </c>
      <c r="C1912" s="2831">
        <v>2052</v>
      </c>
      <c r="D1912" s="2831" t="s">
        <v>4126</v>
      </c>
      <c r="E1912" s="2831" t="s">
        <v>2174</v>
      </c>
    </row>
    <row r="1913" spans="1:5">
      <c r="A1913" s="2831">
        <v>722</v>
      </c>
      <c r="B1913" s="2831" t="s">
        <v>4114</v>
      </c>
      <c r="C1913" s="2831">
        <v>3052</v>
      </c>
      <c r="D1913" s="2831" t="s">
        <v>4127</v>
      </c>
      <c r="E1913" s="2831" t="s">
        <v>2166</v>
      </c>
    </row>
    <row r="1914" spans="1:5">
      <c r="A1914" s="2831">
        <v>722</v>
      </c>
      <c r="B1914" s="2831" t="s">
        <v>4114</v>
      </c>
      <c r="C1914" s="2831">
        <v>192</v>
      </c>
      <c r="D1914" s="2831" t="s">
        <v>4128</v>
      </c>
      <c r="E1914" s="2831" t="s">
        <v>2174</v>
      </c>
    </row>
    <row r="1915" spans="1:5">
      <c r="A1915" s="2831">
        <v>722</v>
      </c>
      <c r="B1915" s="2831" t="s">
        <v>4114</v>
      </c>
      <c r="C1915" s="2831">
        <v>194</v>
      </c>
      <c r="D1915" s="2831" t="s">
        <v>4129</v>
      </c>
      <c r="E1915" s="2831" t="s">
        <v>2174</v>
      </c>
    </row>
    <row r="1916" spans="1:5">
      <c r="A1916" s="2831">
        <v>722</v>
      </c>
      <c r="B1916" s="2831" t="s">
        <v>4114</v>
      </c>
      <c r="C1916" s="2831">
        <v>189</v>
      </c>
      <c r="D1916" s="2831" t="s">
        <v>4130</v>
      </c>
      <c r="E1916" s="2831" t="s">
        <v>2166</v>
      </c>
    </row>
    <row r="1917" spans="1:5">
      <c r="A1917" s="2831">
        <v>785</v>
      </c>
      <c r="B1917" s="2831" t="s">
        <v>4131</v>
      </c>
      <c r="C1917" s="2831">
        <v>376</v>
      </c>
      <c r="D1917" s="2831" t="s">
        <v>4132</v>
      </c>
      <c r="E1917" s="2831" t="s">
        <v>2174</v>
      </c>
    </row>
    <row r="1918" spans="1:5">
      <c r="A1918" s="2831">
        <v>785</v>
      </c>
      <c r="B1918" s="2831" t="s">
        <v>4131</v>
      </c>
      <c r="C1918" s="2831">
        <v>275</v>
      </c>
      <c r="D1918" s="2831" t="s">
        <v>4133</v>
      </c>
      <c r="E1918" s="2831" t="s">
        <v>2166</v>
      </c>
    </row>
    <row r="1919" spans="1:5">
      <c r="A1919" s="2831">
        <v>785</v>
      </c>
      <c r="B1919" s="2831" t="s">
        <v>4131</v>
      </c>
      <c r="C1919" s="2831">
        <v>105</v>
      </c>
      <c r="D1919" s="2831" t="s">
        <v>4134</v>
      </c>
      <c r="E1919" s="2831" t="s">
        <v>2166</v>
      </c>
    </row>
    <row r="1920" spans="1:5">
      <c r="A1920" s="2831">
        <v>785</v>
      </c>
      <c r="B1920" s="2831" t="s">
        <v>4131</v>
      </c>
      <c r="C1920" s="2831">
        <v>377</v>
      </c>
      <c r="D1920" s="2831" t="s">
        <v>4135</v>
      </c>
      <c r="E1920" s="2831" t="s">
        <v>2169</v>
      </c>
    </row>
    <row r="1921" spans="1:5">
      <c r="A1921" s="2831">
        <v>785</v>
      </c>
      <c r="B1921" s="2831" t="s">
        <v>4131</v>
      </c>
      <c r="C1921" s="2831">
        <v>193</v>
      </c>
      <c r="D1921" s="2831" t="s">
        <v>4136</v>
      </c>
      <c r="E1921" s="2831" t="s">
        <v>2166</v>
      </c>
    </row>
    <row r="1922" spans="1:5">
      <c r="A1922" s="2831">
        <v>785</v>
      </c>
      <c r="B1922" s="2831" t="s">
        <v>4131</v>
      </c>
      <c r="C1922" s="2831">
        <v>293</v>
      </c>
      <c r="D1922" s="2831" t="s">
        <v>4137</v>
      </c>
      <c r="E1922" s="2831" t="s">
        <v>2169</v>
      </c>
    </row>
    <row r="1923" spans="1:5">
      <c r="A1923" s="2831">
        <v>785</v>
      </c>
      <c r="B1923" s="2831" t="s">
        <v>4131</v>
      </c>
      <c r="C1923" s="2831">
        <v>173</v>
      </c>
      <c r="D1923" s="2831" t="s">
        <v>4138</v>
      </c>
      <c r="E1923" s="2831" t="s">
        <v>2166</v>
      </c>
    </row>
    <row r="1924" spans="1:5">
      <c r="A1924" s="2831">
        <v>785</v>
      </c>
      <c r="B1924" s="2831" t="s">
        <v>4131</v>
      </c>
      <c r="C1924" s="2831">
        <v>2054</v>
      </c>
      <c r="D1924" s="2831" t="s">
        <v>4139</v>
      </c>
      <c r="E1924" s="2831" t="s">
        <v>2166</v>
      </c>
    </row>
    <row r="1925" spans="1:5">
      <c r="A1925" s="2831">
        <v>625</v>
      </c>
      <c r="B1925" s="2831" t="s">
        <v>4140</v>
      </c>
      <c r="C1925" s="2831">
        <v>2068</v>
      </c>
      <c r="D1925" s="2831" t="s">
        <v>4141</v>
      </c>
      <c r="E1925" s="2831" t="s">
        <v>2174</v>
      </c>
    </row>
    <row r="1926" spans="1:5">
      <c r="A1926" s="2831">
        <v>625</v>
      </c>
      <c r="B1926" s="2831" t="s">
        <v>4140</v>
      </c>
      <c r="C1926" s="2831">
        <v>2052</v>
      </c>
      <c r="D1926" s="2831" t="s">
        <v>4142</v>
      </c>
      <c r="E1926" s="2831" t="s">
        <v>2174</v>
      </c>
    </row>
    <row r="1927" spans="1:5">
      <c r="A1927" s="2831">
        <v>625</v>
      </c>
      <c r="B1927" s="2831" t="s">
        <v>4140</v>
      </c>
      <c r="C1927" s="2831">
        <v>4052</v>
      </c>
      <c r="D1927" s="2831" t="s">
        <v>4143</v>
      </c>
      <c r="E1927" s="2831" t="s">
        <v>2166</v>
      </c>
    </row>
    <row r="1928" spans="1:5">
      <c r="A1928" s="2831">
        <v>625</v>
      </c>
      <c r="B1928" s="2831" t="s">
        <v>4140</v>
      </c>
      <c r="C1928" s="2831">
        <v>5052</v>
      </c>
      <c r="D1928" s="2831" t="s">
        <v>4144</v>
      </c>
      <c r="E1928" s="2831" t="s">
        <v>2174</v>
      </c>
    </row>
    <row r="1929" spans="1:5">
      <c r="A1929" s="2831">
        <v>625</v>
      </c>
      <c r="B1929" s="2831" t="s">
        <v>4140</v>
      </c>
      <c r="C1929" s="2831">
        <v>109</v>
      </c>
      <c r="D1929" s="2831" t="s">
        <v>4145</v>
      </c>
      <c r="E1929" s="2831" t="s">
        <v>2169</v>
      </c>
    </row>
    <row r="1930" spans="1:5">
      <c r="A1930" s="2831">
        <v>625</v>
      </c>
      <c r="B1930" s="2831" t="s">
        <v>4140</v>
      </c>
      <c r="C1930" s="2831">
        <v>311</v>
      </c>
      <c r="D1930" s="2831" t="s">
        <v>4146</v>
      </c>
      <c r="E1930" s="2831" t="s">
        <v>2174</v>
      </c>
    </row>
    <row r="1931" spans="1:5">
      <c r="A1931" s="2831">
        <v>625</v>
      </c>
      <c r="B1931" s="2831" t="s">
        <v>4140</v>
      </c>
      <c r="C1931" s="2831">
        <v>201</v>
      </c>
      <c r="D1931" s="2831" t="s">
        <v>4147</v>
      </c>
      <c r="E1931" s="2831" t="s">
        <v>2166</v>
      </c>
    </row>
    <row r="1932" spans="1:5">
      <c r="A1932" s="2831">
        <v>625</v>
      </c>
      <c r="B1932" s="2831" t="s">
        <v>4140</v>
      </c>
      <c r="C1932" s="2831">
        <v>4054</v>
      </c>
      <c r="D1932" s="2831" t="s">
        <v>4148</v>
      </c>
      <c r="E1932" s="2831" t="s">
        <v>2169</v>
      </c>
    </row>
    <row r="1933" spans="1:5">
      <c r="A1933" s="2831">
        <v>625</v>
      </c>
      <c r="B1933" s="2831" t="s">
        <v>4140</v>
      </c>
      <c r="C1933" s="2831">
        <v>192</v>
      </c>
      <c r="D1933" s="2831" t="s">
        <v>4149</v>
      </c>
      <c r="E1933" s="2831" t="s">
        <v>2174</v>
      </c>
    </row>
    <row r="1934" spans="1:5">
      <c r="A1934" s="2831">
        <v>625</v>
      </c>
      <c r="B1934" s="2831" t="s">
        <v>4140</v>
      </c>
      <c r="C1934" s="2831">
        <v>1056</v>
      </c>
      <c r="D1934" s="2831" t="s">
        <v>4150</v>
      </c>
      <c r="E1934" s="2831" t="s">
        <v>2169</v>
      </c>
    </row>
    <row r="1935" spans="1:5">
      <c r="A1935" s="2831">
        <v>625</v>
      </c>
      <c r="B1935" s="2831" t="s">
        <v>4140</v>
      </c>
      <c r="C1935" s="2831">
        <v>197</v>
      </c>
      <c r="D1935" s="2831" t="s">
        <v>4151</v>
      </c>
      <c r="E1935" s="2831" t="s">
        <v>2166</v>
      </c>
    </row>
    <row r="1936" spans="1:5">
      <c r="A1936" s="2831">
        <v>625</v>
      </c>
      <c r="B1936" s="2831" t="s">
        <v>4140</v>
      </c>
      <c r="C1936" s="2831">
        <v>194</v>
      </c>
      <c r="D1936" s="2831" t="s">
        <v>4152</v>
      </c>
      <c r="E1936" s="2831" t="s">
        <v>2174</v>
      </c>
    </row>
    <row r="1937" spans="1:5">
      <c r="A1937" s="2831">
        <v>625</v>
      </c>
      <c r="B1937" s="2831" t="s">
        <v>4140</v>
      </c>
      <c r="C1937" s="2831">
        <v>211</v>
      </c>
      <c r="D1937" s="2831" t="s">
        <v>4153</v>
      </c>
      <c r="E1937" s="2831" t="s">
        <v>2174</v>
      </c>
    </row>
    <row r="1938" spans="1:5">
      <c r="A1938" s="2831">
        <v>625</v>
      </c>
      <c r="B1938" s="2831" t="s">
        <v>4140</v>
      </c>
      <c r="C1938" s="2831">
        <v>2056</v>
      </c>
      <c r="D1938" s="2831" t="s">
        <v>4154</v>
      </c>
      <c r="E1938" s="2831" t="s">
        <v>2169</v>
      </c>
    </row>
    <row r="1939" spans="1:5">
      <c r="A1939" s="2831">
        <v>625</v>
      </c>
      <c r="B1939" s="2831" t="s">
        <v>4140</v>
      </c>
      <c r="C1939" s="2831">
        <v>3056</v>
      </c>
      <c r="D1939" s="2831" t="s">
        <v>4155</v>
      </c>
      <c r="E1939" s="2831" t="s">
        <v>2169</v>
      </c>
    </row>
    <row r="1940" spans="1:5">
      <c r="A1940" s="2831">
        <v>625</v>
      </c>
      <c r="B1940" s="2831" t="s">
        <v>4140</v>
      </c>
      <c r="C1940" s="2831">
        <v>4056</v>
      </c>
      <c r="D1940" s="2831" t="s">
        <v>4156</v>
      </c>
      <c r="E1940" s="2831" t="s">
        <v>2166</v>
      </c>
    </row>
    <row r="1941" spans="1:5">
      <c r="A1941" s="2831">
        <v>625</v>
      </c>
      <c r="B1941" s="2831" t="s">
        <v>4140</v>
      </c>
      <c r="C1941" s="2831">
        <v>1058</v>
      </c>
      <c r="D1941" s="2831" t="s">
        <v>2343</v>
      </c>
      <c r="E1941" s="2831" t="s">
        <v>2169</v>
      </c>
    </row>
    <row r="1942" spans="1:5">
      <c r="A1942" s="2831">
        <v>625</v>
      </c>
      <c r="B1942" s="2831" t="s">
        <v>4140</v>
      </c>
      <c r="C1942" s="2831">
        <v>4058</v>
      </c>
      <c r="D1942" s="2831" t="s">
        <v>4157</v>
      </c>
      <c r="E1942" s="2831" t="s">
        <v>2166</v>
      </c>
    </row>
    <row r="1943" spans="1:5">
      <c r="A1943" s="2831">
        <v>625</v>
      </c>
      <c r="B1943" s="2831" t="s">
        <v>4140</v>
      </c>
      <c r="C1943" s="2831">
        <v>5058</v>
      </c>
      <c r="D1943" s="2831" t="s">
        <v>4158</v>
      </c>
      <c r="E1943" s="2831" t="s">
        <v>2174</v>
      </c>
    </row>
    <row r="1944" spans="1:5">
      <c r="A1944" s="2831">
        <v>625</v>
      </c>
      <c r="B1944" s="2831" t="s">
        <v>4140</v>
      </c>
      <c r="C1944" s="2831">
        <v>2060</v>
      </c>
      <c r="D1944" s="2831" t="s">
        <v>4159</v>
      </c>
      <c r="E1944" s="2831" t="s">
        <v>2166</v>
      </c>
    </row>
    <row r="1945" spans="1:5">
      <c r="A1945" s="2831">
        <v>625</v>
      </c>
      <c r="B1945" s="2831" t="s">
        <v>4140</v>
      </c>
      <c r="C1945" s="2831">
        <v>411</v>
      </c>
      <c r="D1945" s="2831" t="s">
        <v>4160</v>
      </c>
      <c r="E1945" s="2831" t="s">
        <v>2166</v>
      </c>
    </row>
    <row r="1946" spans="1:5">
      <c r="A1946" s="2831">
        <v>625</v>
      </c>
      <c r="B1946" s="2831" t="s">
        <v>4140</v>
      </c>
      <c r="C1946" s="2831">
        <v>3060</v>
      </c>
      <c r="D1946" s="2831" t="s">
        <v>4161</v>
      </c>
      <c r="E1946" s="2831" t="s">
        <v>2169</v>
      </c>
    </row>
    <row r="1947" spans="1:5">
      <c r="A1947" s="2831">
        <v>625</v>
      </c>
      <c r="B1947" s="2831" t="s">
        <v>4140</v>
      </c>
      <c r="C1947" s="2831">
        <v>5066</v>
      </c>
      <c r="D1947" s="2831" t="s">
        <v>4162</v>
      </c>
      <c r="E1947" s="2831" t="s">
        <v>2169</v>
      </c>
    </row>
    <row r="1948" spans="1:5">
      <c r="A1948" s="2831">
        <v>625</v>
      </c>
      <c r="B1948" s="2831" t="s">
        <v>4140</v>
      </c>
      <c r="C1948" s="2831">
        <v>5060</v>
      </c>
      <c r="D1948" s="2831" t="s">
        <v>4163</v>
      </c>
      <c r="E1948" s="2831" t="s">
        <v>2169</v>
      </c>
    </row>
    <row r="1949" spans="1:5">
      <c r="A1949" s="2831">
        <v>625</v>
      </c>
      <c r="B1949" s="2831" t="s">
        <v>4140</v>
      </c>
      <c r="C1949" s="2831">
        <v>101</v>
      </c>
      <c r="D1949" s="2831" t="s">
        <v>3567</v>
      </c>
      <c r="E1949" s="2831" t="s">
        <v>2174</v>
      </c>
    </row>
    <row r="1950" spans="1:5">
      <c r="A1950" s="2831">
        <v>625</v>
      </c>
      <c r="B1950" s="2831" t="s">
        <v>4140</v>
      </c>
      <c r="C1950" s="2831">
        <v>2062</v>
      </c>
      <c r="D1950" s="2831" t="s">
        <v>4164</v>
      </c>
      <c r="E1950" s="2831" t="s">
        <v>2169</v>
      </c>
    </row>
    <row r="1951" spans="1:5">
      <c r="A1951" s="2831">
        <v>625</v>
      </c>
      <c r="B1951" s="2831" t="s">
        <v>4140</v>
      </c>
      <c r="C1951" s="2831">
        <v>298</v>
      </c>
      <c r="D1951" s="2831" t="s">
        <v>4165</v>
      </c>
      <c r="E1951" s="2831" t="s">
        <v>2174</v>
      </c>
    </row>
    <row r="1952" spans="1:5">
      <c r="A1952" s="2831">
        <v>625</v>
      </c>
      <c r="B1952" s="2831" t="s">
        <v>4140</v>
      </c>
      <c r="C1952" s="2831">
        <v>1060</v>
      </c>
      <c r="D1952" s="2831" t="s">
        <v>4166</v>
      </c>
      <c r="E1952" s="2831" t="s">
        <v>2166</v>
      </c>
    </row>
    <row r="1953" spans="1:5">
      <c r="A1953" s="2831">
        <v>625</v>
      </c>
      <c r="B1953" s="2831" t="s">
        <v>4140</v>
      </c>
      <c r="C1953" s="2831">
        <v>5062</v>
      </c>
      <c r="D1953" s="2831" t="s">
        <v>4167</v>
      </c>
      <c r="E1953" s="2831" t="s">
        <v>2166</v>
      </c>
    </row>
    <row r="1954" spans="1:5">
      <c r="A1954" s="2831">
        <v>625</v>
      </c>
      <c r="B1954" s="2831" t="s">
        <v>4140</v>
      </c>
      <c r="C1954" s="2831">
        <v>301</v>
      </c>
      <c r="D1954" s="2831" t="s">
        <v>4168</v>
      </c>
      <c r="E1954" s="2831" t="s">
        <v>2166</v>
      </c>
    </row>
    <row r="1955" spans="1:5">
      <c r="A1955" s="2831">
        <v>625</v>
      </c>
      <c r="B1955" s="2831" t="s">
        <v>4140</v>
      </c>
      <c r="C1955" s="2831">
        <v>117</v>
      </c>
      <c r="D1955" s="2831" t="s">
        <v>4169</v>
      </c>
      <c r="E1955" s="2831" t="s">
        <v>2174</v>
      </c>
    </row>
    <row r="1956" spans="1:5">
      <c r="A1956" s="2831">
        <v>625</v>
      </c>
      <c r="B1956" s="2831" t="s">
        <v>4140</v>
      </c>
      <c r="C1956" s="2831">
        <v>520</v>
      </c>
      <c r="D1956" s="2831" t="s">
        <v>4170</v>
      </c>
      <c r="E1956" s="2831" t="s">
        <v>2174</v>
      </c>
    </row>
    <row r="1957" spans="1:5">
      <c r="A1957" s="2831">
        <v>625</v>
      </c>
      <c r="B1957" s="2831" t="s">
        <v>4140</v>
      </c>
      <c r="C1957" s="2831">
        <v>118</v>
      </c>
      <c r="D1957" s="2831" t="s">
        <v>4171</v>
      </c>
      <c r="E1957" s="2831" t="s">
        <v>2166</v>
      </c>
    </row>
    <row r="1958" spans="1:5">
      <c r="A1958" s="2831">
        <v>625</v>
      </c>
      <c r="B1958" s="2831" t="s">
        <v>4140</v>
      </c>
      <c r="C1958" s="2831">
        <v>1052</v>
      </c>
      <c r="D1958" s="2831" t="s">
        <v>4172</v>
      </c>
      <c r="E1958" s="2831" t="s">
        <v>2174</v>
      </c>
    </row>
    <row r="1959" spans="1:5">
      <c r="A1959" s="2831">
        <v>625</v>
      </c>
      <c r="B1959" s="2831" t="s">
        <v>4140</v>
      </c>
      <c r="C1959" s="2831">
        <v>3064</v>
      </c>
      <c r="D1959" s="2831" t="s">
        <v>4173</v>
      </c>
      <c r="E1959" s="2831" t="s">
        <v>2166</v>
      </c>
    </row>
    <row r="1960" spans="1:5">
      <c r="A1960" s="2831">
        <v>625</v>
      </c>
      <c r="B1960" s="2831" t="s">
        <v>4140</v>
      </c>
      <c r="C1960" s="2831">
        <v>116</v>
      </c>
      <c r="D1960" s="2831" t="s">
        <v>4174</v>
      </c>
      <c r="E1960" s="2831" t="s">
        <v>2166</v>
      </c>
    </row>
    <row r="1961" spans="1:5">
      <c r="A1961" s="2831">
        <v>625</v>
      </c>
      <c r="B1961" s="2831" t="s">
        <v>4140</v>
      </c>
      <c r="C1961" s="2831">
        <v>512</v>
      </c>
      <c r="D1961" s="2831" t="s">
        <v>4175</v>
      </c>
      <c r="E1961" s="2831" t="s">
        <v>2174</v>
      </c>
    </row>
    <row r="1962" spans="1:5">
      <c r="A1962" s="2831">
        <v>625</v>
      </c>
      <c r="B1962" s="2831" t="s">
        <v>4140</v>
      </c>
      <c r="C1962" s="2831">
        <v>499</v>
      </c>
      <c r="D1962" s="2831" t="s">
        <v>4176</v>
      </c>
      <c r="E1962" s="2831" t="s">
        <v>2169</v>
      </c>
    </row>
    <row r="1963" spans="1:5">
      <c r="A1963" s="2831">
        <v>625</v>
      </c>
      <c r="B1963" s="2831" t="s">
        <v>4140</v>
      </c>
      <c r="C1963" s="2831">
        <v>516</v>
      </c>
      <c r="D1963" s="2831" t="s">
        <v>4177</v>
      </c>
      <c r="E1963" s="2831" t="s">
        <v>2174</v>
      </c>
    </row>
    <row r="1964" spans="1:5">
      <c r="A1964" s="2831">
        <v>625</v>
      </c>
      <c r="B1964" s="2831" t="s">
        <v>4140</v>
      </c>
      <c r="C1964" s="2831">
        <v>128</v>
      </c>
      <c r="D1964" s="2831" t="s">
        <v>4178</v>
      </c>
      <c r="E1964" s="2831" t="s">
        <v>2174</v>
      </c>
    </row>
    <row r="1965" spans="1:5">
      <c r="A1965" s="2831">
        <v>625</v>
      </c>
      <c r="B1965" s="2831" t="s">
        <v>4140</v>
      </c>
      <c r="C1965" s="2831">
        <v>513</v>
      </c>
      <c r="D1965" s="2831" t="s">
        <v>4179</v>
      </c>
      <c r="E1965" s="2831" t="s">
        <v>2174</v>
      </c>
    </row>
    <row r="1966" spans="1:5">
      <c r="A1966" s="2831">
        <v>625</v>
      </c>
      <c r="B1966" s="2831" t="s">
        <v>4140</v>
      </c>
      <c r="C1966" s="2831">
        <v>518</v>
      </c>
      <c r="D1966" s="2831" t="s">
        <v>4180</v>
      </c>
      <c r="E1966" s="2831" t="s">
        <v>2174</v>
      </c>
    </row>
    <row r="1967" spans="1:5">
      <c r="A1967" s="2831">
        <v>625</v>
      </c>
      <c r="B1967" s="2831" t="s">
        <v>4140</v>
      </c>
      <c r="C1967" s="2831">
        <v>514</v>
      </c>
      <c r="D1967" s="2831" t="s">
        <v>4181</v>
      </c>
      <c r="E1967" s="2831" t="s">
        <v>2174</v>
      </c>
    </row>
    <row r="1968" spans="1:5">
      <c r="A1968" s="2831">
        <v>625</v>
      </c>
      <c r="B1968" s="2831" t="s">
        <v>4140</v>
      </c>
      <c r="C1968" s="2831">
        <v>511</v>
      </c>
      <c r="D1968" s="2831" t="s">
        <v>4182</v>
      </c>
      <c r="E1968" s="2831" t="s">
        <v>2174</v>
      </c>
    </row>
    <row r="1969" spans="1:5">
      <c r="A1969" s="2831">
        <v>625</v>
      </c>
      <c r="B1969" s="2831" t="s">
        <v>4140</v>
      </c>
      <c r="C1969" s="2831">
        <v>300</v>
      </c>
      <c r="D1969" s="2831" t="s">
        <v>4183</v>
      </c>
      <c r="E1969" s="2831" t="s">
        <v>2169</v>
      </c>
    </row>
    <row r="1970" spans="1:5">
      <c r="A1970" s="2831">
        <v>625</v>
      </c>
      <c r="B1970" s="2831" t="s">
        <v>4140</v>
      </c>
      <c r="C1970" s="2831">
        <v>299</v>
      </c>
      <c r="D1970" s="2831" t="s">
        <v>4184</v>
      </c>
      <c r="E1970" s="2831" t="s">
        <v>2166</v>
      </c>
    </row>
    <row r="1971" spans="1:5">
      <c r="A1971" s="2831">
        <v>625</v>
      </c>
      <c r="B1971" s="2831" t="s">
        <v>4140</v>
      </c>
      <c r="C1971" s="2831">
        <v>515</v>
      </c>
      <c r="D1971" s="2831" t="s">
        <v>4185</v>
      </c>
      <c r="E1971" s="2831" t="s">
        <v>2174</v>
      </c>
    </row>
    <row r="1972" spans="1:5">
      <c r="A1972" s="2831">
        <v>625</v>
      </c>
      <c r="B1972" s="2831" t="s">
        <v>4140</v>
      </c>
      <c r="C1972" s="2831">
        <v>124</v>
      </c>
      <c r="D1972" s="2831" t="s">
        <v>4186</v>
      </c>
      <c r="E1972" s="2831" t="s">
        <v>2166</v>
      </c>
    </row>
    <row r="1973" spans="1:5">
      <c r="A1973" s="2831">
        <v>625</v>
      </c>
      <c r="B1973" s="2831" t="s">
        <v>4140</v>
      </c>
      <c r="C1973" s="2831">
        <v>210</v>
      </c>
      <c r="D1973" s="2831" t="s">
        <v>4187</v>
      </c>
      <c r="E1973" s="2831" t="s">
        <v>2174</v>
      </c>
    </row>
    <row r="1974" spans="1:5">
      <c r="A1974" s="2831">
        <v>625</v>
      </c>
      <c r="B1974" s="2831" t="s">
        <v>4140</v>
      </c>
      <c r="C1974" s="2831">
        <v>125</v>
      </c>
      <c r="D1974" s="2831" t="s">
        <v>4188</v>
      </c>
      <c r="E1974" s="2831" t="s">
        <v>2166</v>
      </c>
    </row>
    <row r="1975" spans="1:5">
      <c r="A1975" s="2831">
        <v>625</v>
      </c>
      <c r="B1975" s="2831" t="s">
        <v>4140</v>
      </c>
      <c r="C1975" s="2831">
        <v>200</v>
      </c>
      <c r="D1975" s="2831" t="s">
        <v>4189</v>
      </c>
      <c r="E1975" s="2831" t="s">
        <v>2169</v>
      </c>
    </row>
    <row r="1976" spans="1:5">
      <c r="A1976" s="2831">
        <v>625</v>
      </c>
      <c r="B1976" s="2831" t="s">
        <v>4140</v>
      </c>
      <c r="C1976" s="2831">
        <v>199</v>
      </c>
      <c r="D1976" s="2831" t="s">
        <v>4190</v>
      </c>
      <c r="E1976" s="2831" t="s">
        <v>2166</v>
      </c>
    </row>
    <row r="1977" spans="1:5">
      <c r="A1977" s="2831">
        <v>625</v>
      </c>
      <c r="B1977" s="2831" t="s">
        <v>4140</v>
      </c>
      <c r="C1977" s="2831">
        <v>1070</v>
      </c>
      <c r="D1977" s="2831" t="s">
        <v>4191</v>
      </c>
      <c r="E1977" s="2831" t="s">
        <v>2166</v>
      </c>
    </row>
    <row r="1978" spans="1:5">
      <c r="A1978" s="2831">
        <v>625</v>
      </c>
      <c r="B1978" s="2831" t="s">
        <v>4140</v>
      </c>
      <c r="C1978" s="2831">
        <v>4070</v>
      </c>
      <c r="D1978" s="2831" t="s">
        <v>4192</v>
      </c>
      <c r="E1978" s="2831" t="s">
        <v>2169</v>
      </c>
    </row>
    <row r="1979" spans="1:5">
      <c r="A1979" s="2831">
        <v>625</v>
      </c>
      <c r="B1979" s="2831" t="s">
        <v>4140</v>
      </c>
      <c r="C1979" s="2831">
        <v>5070</v>
      </c>
      <c r="D1979" s="2831" t="s">
        <v>4193</v>
      </c>
      <c r="E1979" s="2831" t="s">
        <v>2174</v>
      </c>
    </row>
    <row r="1980" spans="1:5">
      <c r="A1980" s="2831">
        <v>625</v>
      </c>
      <c r="B1980" s="2831" t="s">
        <v>4140</v>
      </c>
      <c r="C1980" s="2831">
        <v>115</v>
      </c>
      <c r="D1980" s="2831" t="s">
        <v>4194</v>
      </c>
      <c r="E1980" s="2831" t="s">
        <v>2174</v>
      </c>
    </row>
    <row r="1981" spans="1:5">
      <c r="A1981" s="2831">
        <v>723</v>
      </c>
      <c r="B1981" s="2831" t="s">
        <v>4195</v>
      </c>
      <c r="C1981" s="2831">
        <v>198</v>
      </c>
      <c r="D1981" s="2831" t="s">
        <v>4196</v>
      </c>
      <c r="E1981" s="2831" t="s">
        <v>2174</v>
      </c>
    </row>
    <row r="1982" spans="1:5">
      <c r="A1982" s="2831">
        <v>723</v>
      </c>
      <c r="B1982" s="2831" t="s">
        <v>4195</v>
      </c>
      <c r="C1982" s="2831">
        <v>101</v>
      </c>
      <c r="D1982" s="2831" t="s">
        <v>4197</v>
      </c>
      <c r="E1982" s="2831" t="s">
        <v>2174</v>
      </c>
    </row>
    <row r="1983" spans="1:5">
      <c r="A1983" s="2831">
        <v>724</v>
      </c>
      <c r="B1983" s="2831" t="s">
        <v>4198</v>
      </c>
      <c r="C1983" s="2831">
        <v>191</v>
      </c>
      <c r="D1983" s="2831" t="s">
        <v>4199</v>
      </c>
      <c r="E1983" s="2831" t="s">
        <v>2166</v>
      </c>
    </row>
    <row r="1984" spans="1:5">
      <c r="A1984" s="2831">
        <v>724</v>
      </c>
      <c r="B1984" s="2831" t="s">
        <v>4198</v>
      </c>
      <c r="C1984" s="2831">
        <v>4052</v>
      </c>
      <c r="D1984" s="2831" t="s">
        <v>4200</v>
      </c>
      <c r="E1984" s="2831" t="s">
        <v>2174</v>
      </c>
    </row>
    <row r="1985" spans="1:5">
      <c r="A1985" s="2831">
        <v>724</v>
      </c>
      <c r="B1985" s="2831" t="s">
        <v>4198</v>
      </c>
      <c r="C1985" s="2831">
        <v>197</v>
      </c>
      <c r="D1985" s="2831" t="s">
        <v>4201</v>
      </c>
      <c r="E1985" s="2831" t="s">
        <v>2166</v>
      </c>
    </row>
    <row r="1986" spans="1:5">
      <c r="A1986" s="2831">
        <v>725</v>
      </c>
      <c r="B1986" s="2831" t="s">
        <v>4202</v>
      </c>
      <c r="C1986" s="2831">
        <v>296</v>
      </c>
      <c r="D1986" s="2831" t="s">
        <v>4203</v>
      </c>
      <c r="E1986" s="2831" t="s">
        <v>2169</v>
      </c>
    </row>
    <row r="1987" spans="1:5">
      <c r="A1987" s="2831">
        <v>725</v>
      </c>
      <c r="B1987" s="2831" t="s">
        <v>4202</v>
      </c>
      <c r="C1987" s="2831">
        <v>196</v>
      </c>
      <c r="D1987" s="2831" t="s">
        <v>4204</v>
      </c>
      <c r="E1987" s="2831" t="s">
        <v>2166</v>
      </c>
    </row>
    <row r="1988" spans="1:5">
      <c r="A1988" s="2831">
        <v>786</v>
      </c>
      <c r="B1988" s="2831" t="s">
        <v>4205</v>
      </c>
      <c r="C1988" s="2831">
        <v>200</v>
      </c>
      <c r="D1988" s="2831" t="s">
        <v>4206</v>
      </c>
      <c r="E1988" s="2831" t="s">
        <v>2166</v>
      </c>
    </row>
    <row r="1989" spans="1:5">
      <c r="A1989" s="2831">
        <v>786</v>
      </c>
      <c r="B1989" s="2831" t="s">
        <v>4205</v>
      </c>
      <c r="C1989" s="2831">
        <v>300</v>
      </c>
      <c r="D1989" s="2831" t="s">
        <v>4207</v>
      </c>
      <c r="E1989" s="2831" t="s">
        <v>2169</v>
      </c>
    </row>
    <row r="1990" spans="1:5">
      <c r="A1990" s="2831">
        <v>786</v>
      </c>
      <c r="B1990" s="2831" t="s">
        <v>4205</v>
      </c>
      <c r="C1990" s="2831">
        <v>103</v>
      </c>
      <c r="D1990" s="2831" t="s">
        <v>4208</v>
      </c>
      <c r="E1990" s="2831" t="s">
        <v>2169</v>
      </c>
    </row>
    <row r="1991" spans="1:5">
      <c r="A1991" s="2831">
        <v>786</v>
      </c>
      <c r="B1991" s="2831" t="s">
        <v>4205</v>
      </c>
      <c r="C1991" s="2831">
        <v>100</v>
      </c>
      <c r="D1991" s="2831" t="s">
        <v>4209</v>
      </c>
      <c r="E1991" s="2831" t="s">
        <v>2169</v>
      </c>
    </row>
    <row r="1992" spans="1:5" ht="38.25">
      <c r="A1992" s="2831">
        <v>7830623</v>
      </c>
      <c r="B1992" s="2831" t="s">
        <v>4210</v>
      </c>
      <c r="C1992" s="2831">
        <v>623</v>
      </c>
      <c r="D1992" s="2831" t="s">
        <v>4211</v>
      </c>
      <c r="E1992" s="2831" t="s">
        <v>2169</v>
      </c>
    </row>
    <row r="1993" spans="1:5" ht="25.5">
      <c r="A1993" s="2831">
        <v>7830643</v>
      </c>
      <c r="B1993" s="2831" t="s">
        <v>4212</v>
      </c>
      <c r="C1993" s="2831">
        <v>643</v>
      </c>
      <c r="D1993" s="2831" t="s">
        <v>4213</v>
      </c>
      <c r="E1993" s="2831" t="s">
        <v>2166</v>
      </c>
    </row>
    <row r="1994" spans="1:5" ht="25.5">
      <c r="A1994" s="2831">
        <v>7830410</v>
      </c>
      <c r="B1994" s="2831" t="s">
        <v>4214</v>
      </c>
      <c r="C1994" s="2831">
        <v>410</v>
      </c>
      <c r="D1994" s="2831" t="s">
        <v>4215</v>
      </c>
      <c r="E1994" s="2831" t="s">
        <v>2169</v>
      </c>
    </row>
    <row r="1995" spans="1:5" ht="25.5">
      <c r="A1995" s="2831">
        <v>7830627</v>
      </c>
      <c r="B1995" s="2831" t="s">
        <v>4216</v>
      </c>
      <c r="C1995" s="2831">
        <v>627</v>
      </c>
      <c r="D1995" s="2831" t="s">
        <v>4217</v>
      </c>
      <c r="E1995" s="2831" t="s">
        <v>2174</v>
      </c>
    </row>
    <row r="1996" spans="1:5" ht="25.5">
      <c r="A1996" s="2831">
        <v>7830632</v>
      </c>
      <c r="B1996" s="2831" t="s">
        <v>4218</v>
      </c>
      <c r="C1996" s="2831">
        <v>632</v>
      </c>
      <c r="D1996" s="2831" t="s">
        <v>4219</v>
      </c>
      <c r="E1996" s="2831" t="s">
        <v>2169</v>
      </c>
    </row>
    <row r="1997" spans="1:5" ht="38.25">
      <c r="A1997" s="2831">
        <v>7830630</v>
      </c>
      <c r="B1997" s="2831" t="s">
        <v>4220</v>
      </c>
      <c r="C1997" s="2831">
        <v>630</v>
      </c>
      <c r="D1997" s="2831" t="s">
        <v>4221</v>
      </c>
      <c r="E1997" s="2831" t="s">
        <v>2174</v>
      </c>
    </row>
    <row r="1998" spans="1:5" ht="25.5">
      <c r="A1998" s="2831">
        <v>7830613</v>
      </c>
      <c r="B1998" s="2831" t="s">
        <v>4222</v>
      </c>
      <c r="C1998" s="2831">
        <v>613</v>
      </c>
      <c r="D1998" s="2831" t="s">
        <v>4223</v>
      </c>
      <c r="E1998" s="2831" t="s">
        <v>2174</v>
      </c>
    </row>
    <row r="1999" spans="1:5" ht="25.5">
      <c r="A1999" s="2831">
        <v>7830611</v>
      </c>
      <c r="B1999" s="2831" t="s">
        <v>4224</v>
      </c>
      <c r="C1999" s="2831">
        <v>611</v>
      </c>
      <c r="D1999" s="2831" t="s">
        <v>4225</v>
      </c>
      <c r="E1999" s="2831" t="s">
        <v>2166</v>
      </c>
    </row>
    <row r="2000" spans="1:5" ht="25.5">
      <c r="A2000" s="2831">
        <v>7830610</v>
      </c>
      <c r="B2000" s="2831" t="s">
        <v>4226</v>
      </c>
      <c r="C2000" s="2831">
        <v>610</v>
      </c>
      <c r="D2000" s="2831" t="s">
        <v>4227</v>
      </c>
      <c r="E2000" s="2831" t="s">
        <v>2169</v>
      </c>
    </row>
    <row r="2001" spans="1:5" ht="25.5">
      <c r="A2001" s="2831">
        <v>7830633</v>
      </c>
      <c r="B2001" s="2831" t="s">
        <v>4228</v>
      </c>
      <c r="C2001" s="2831">
        <v>633</v>
      </c>
      <c r="D2001" s="2831" t="s">
        <v>4229</v>
      </c>
      <c r="E2001" s="2831" t="s">
        <v>2169</v>
      </c>
    </row>
    <row r="2002" spans="1:5" ht="25.5">
      <c r="A2002" s="2831">
        <v>7830637</v>
      </c>
      <c r="B2002" s="2831" t="s">
        <v>4230</v>
      </c>
      <c r="C2002" s="2831">
        <v>637</v>
      </c>
      <c r="D2002" s="2831" t="s">
        <v>4231</v>
      </c>
      <c r="E2002" s="2831" t="s">
        <v>2169</v>
      </c>
    </row>
    <row r="2003" spans="1:5" ht="38.25">
      <c r="A2003" s="2831">
        <v>7830642</v>
      </c>
      <c r="B2003" s="2831" t="s">
        <v>4232</v>
      </c>
      <c r="C2003" s="2831">
        <v>642</v>
      </c>
      <c r="D2003" s="2831" t="s">
        <v>4233</v>
      </c>
      <c r="E2003" s="2831" t="s">
        <v>2169</v>
      </c>
    </row>
    <row r="2004" spans="1:5" ht="25.5">
      <c r="A2004" s="2831">
        <v>7830628</v>
      </c>
      <c r="B2004" s="2831" t="s">
        <v>4234</v>
      </c>
      <c r="C2004" s="2831">
        <v>628</v>
      </c>
      <c r="D2004" s="2831" t="s">
        <v>4235</v>
      </c>
      <c r="E2004" s="2831" t="s">
        <v>2169</v>
      </c>
    </row>
    <row r="2005" spans="1:5" ht="25.5">
      <c r="A2005" s="2831">
        <v>7830310</v>
      </c>
      <c r="B2005" s="2831" t="s">
        <v>4236</v>
      </c>
      <c r="C2005" s="2831">
        <v>310</v>
      </c>
      <c r="D2005" s="2831" t="s">
        <v>4237</v>
      </c>
      <c r="E2005" s="2831" t="s">
        <v>2166</v>
      </c>
    </row>
    <row r="2006" spans="1:5" ht="25.5">
      <c r="A2006" s="2831">
        <v>7830626</v>
      </c>
      <c r="B2006" s="2831" t="s">
        <v>4238</v>
      </c>
      <c r="C2006" s="2831">
        <v>626</v>
      </c>
      <c r="D2006" s="2831" t="s">
        <v>4239</v>
      </c>
      <c r="E2006" s="2831" t="s">
        <v>2174</v>
      </c>
    </row>
    <row r="2007" spans="1:5" ht="38.25">
      <c r="A2007" s="2831">
        <v>7830615</v>
      </c>
      <c r="B2007" s="2831" t="s">
        <v>4240</v>
      </c>
      <c r="C2007" s="2831">
        <v>615</v>
      </c>
      <c r="D2007" s="2831" t="s">
        <v>4241</v>
      </c>
      <c r="E2007" s="2831" t="s">
        <v>2174</v>
      </c>
    </row>
    <row r="2008" spans="1:5" ht="38.25">
      <c r="A2008" s="2831">
        <v>7830616</v>
      </c>
      <c r="B2008" s="2831" t="s">
        <v>4242</v>
      </c>
      <c r="C2008" s="2831">
        <v>616</v>
      </c>
      <c r="D2008" s="2831" t="s">
        <v>4243</v>
      </c>
      <c r="E2008" s="2831" t="s">
        <v>2169</v>
      </c>
    </row>
    <row r="2009" spans="1:5" ht="25.5">
      <c r="A2009" s="2831">
        <v>7830634</v>
      </c>
      <c r="B2009" s="2831" t="s">
        <v>4244</v>
      </c>
      <c r="C2009" s="2831">
        <v>634</v>
      </c>
      <c r="D2009" s="2831" t="s">
        <v>4245</v>
      </c>
      <c r="E2009" s="2831" t="s">
        <v>2169</v>
      </c>
    </row>
    <row r="2010" spans="1:5" ht="25.5">
      <c r="A2010" s="2831">
        <v>7830619</v>
      </c>
      <c r="B2010" s="2831" t="s">
        <v>4246</v>
      </c>
      <c r="C2010" s="2831">
        <v>619</v>
      </c>
      <c r="D2010" s="2831" t="s">
        <v>4247</v>
      </c>
      <c r="E2010" s="2831" t="s">
        <v>2169</v>
      </c>
    </row>
    <row r="2011" spans="1:5" ht="38.25">
      <c r="A2011" s="2831">
        <v>7830620</v>
      </c>
      <c r="B2011" s="2831" t="s">
        <v>4248</v>
      </c>
      <c r="C2011" s="2831">
        <v>620</v>
      </c>
      <c r="D2011" s="2831" t="s">
        <v>4249</v>
      </c>
      <c r="E2011" s="2831" t="s">
        <v>2166</v>
      </c>
    </row>
    <row r="2012" spans="1:5" ht="25.5">
      <c r="A2012" s="2831">
        <v>7830640</v>
      </c>
      <c r="B2012" s="2831" t="s">
        <v>4250</v>
      </c>
      <c r="C2012" s="2831">
        <v>640</v>
      </c>
      <c r="D2012" s="2831" t="s">
        <v>4251</v>
      </c>
      <c r="E2012" s="2831" t="s">
        <v>2169</v>
      </c>
    </row>
    <row r="2013" spans="1:5" ht="25.5">
      <c r="A2013" s="2831">
        <v>7830614</v>
      </c>
      <c r="B2013" s="2831" t="s">
        <v>4252</v>
      </c>
      <c r="C2013" s="2831">
        <v>614</v>
      </c>
      <c r="D2013" s="2831" t="s">
        <v>4253</v>
      </c>
      <c r="E2013" s="2831" t="s">
        <v>2166</v>
      </c>
    </row>
    <row r="2014" spans="1:5" ht="25.5">
      <c r="A2014" s="2831">
        <v>7830639</v>
      </c>
      <c r="B2014" s="2831" t="s">
        <v>4254</v>
      </c>
      <c r="C2014" s="2831">
        <v>639</v>
      </c>
      <c r="D2014" s="2831" t="s">
        <v>4255</v>
      </c>
      <c r="E2014" s="2831" t="s">
        <v>2169</v>
      </c>
    </row>
    <row r="2015" spans="1:5" ht="25.5">
      <c r="A2015" s="2831">
        <v>7830636</v>
      </c>
      <c r="B2015" s="2831" t="s">
        <v>4256</v>
      </c>
      <c r="C2015" s="2831">
        <v>636</v>
      </c>
      <c r="D2015" s="2831" t="s">
        <v>4257</v>
      </c>
      <c r="E2015" s="2831" t="s">
        <v>2166</v>
      </c>
    </row>
    <row r="2016" spans="1:5" ht="25.5">
      <c r="A2016" s="2831">
        <v>7830638</v>
      </c>
      <c r="B2016" s="2831" t="s">
        <v>4258</v>
      </c>
      <c r="C2016" s="2831">
        <v>638</v>
      </c>
      <c r="D2016" s="2831" t="s">
        <v>4259</v>
      </c>
      <c r="E2016" s="2831" t="s">
        <v>2169</v>
      </c>
    </row>
    <row r="2017" spans="1:5" ht="25.5">
      <c r="A2017" s="2831">
        <v>7830210</v>
      </c>
      <c r="B2017" s="2831" t="s">
        <v>4260</v>
      </c>
      <c r="C2017" s="2831">
        <v>210</v>
      </c>
      <c r="D2017" s="2831" t="s">
        <v>4261</v>
      </c>
      <c r="E2017" s="2831" t="s">
        <v>2166</v>
      </c>
    </row>
    <row r="2018" spans="1:5" ht="25.5">
      <c r="A2018" s="2831">
        <v>7830647</v>
      </c>
      <c r="B2018" s="2831" t="s">
        <v>4262</v>
      </c>
      <c r="C2018" s="2831">
        <v>647</v>
      </c>
      <c r="D2018" s="2831" t="s">
        <v>4263</v>
      </c>
      <c r="E2018" s="2831" t="s">
        <v>2166</v>
      </c>
    </row>
    <row r="2019" spans="1:5" ht="25.5">
      <c r="A2019" s="2831">
        <v>7830617</v>
      </c>
      <c r="B2019" s="2831" t="s">
        <v>4264</v>
      </c>
      <c r="C2019" s="2831">
        <v>617</v>
      </c>
      <c r="D2019" s="2831" t="s">
        <v>4265</v>
      </c>
      <c r="E2019" s="2831" t="s">
        <v>2166</v>
      </c>
    </row>
    <row r="2020" spans="1:5" ht="38.25">
      <c r="A2020" s="2831">
        <v>7830641</v>
      </c>
      <c r="B2020" s="2831" t="s">
        <v>4266</v>
      </c>
      <c r="C2020" s="2831">
        <v>641</v>
      </c>
      <c r="D2020" s="2831" t="s">
        <v>4267</v>
      </c>
      <c r="E2020" s="2831" t="s">
        <v>2174</v>
      </c>
    </row>
    <row r="2021" spans="1:5" ht="38.25">
      <c r="A2021" s="2831">
        <v>7830618</v>
      </c>
      <c r="B2021" s="2831" t="s">
        <v>4268</v>
      </c>
      <c r="C2021" s="2831">
        <v>618</v>
      </c>
      <c r="D2021" s="2831" t="s">
        <v>4269</v>
      </c>
      <c r="E2021" s="2831" t="s">
        <v>2169</v>
      </c>
    </row>
    <row r="2022" spans="1:5" ht="25.5">
      <c r="A2022" s="2831">
        <v>7830621</v>
      </c>
      <c r="B2022" s="2831" t="s">
        <v>4270</v>
      </c>
      <c r="C2022" s="2831">
        <v>621</v>
      </c>
      <c r="D2022" s="2831" t="s">
        <v>4271</v>
      </c>
      <c r="E2022" s="2831" t="s">
        <v>2166</v>
      </c>
    </row>
    <row r="2023" spans="1:5" ht="38.25">
      <c r="A2023" s="2831">
        <v>7830612</v>
      </c>
      <c r="B2023" s="2831" t="s">
        <v>4272</v>
      </c>
      <c r="C2023" s="2831">
        <v>612</v>
      </c>
      <c r="D2023" s="2831" t="s">
        <v>4273</v>
      </c>
      <c r="E2023" s="2831" t="s">
        <v>2174</v>
      </c>
    </row>
    <row r="2024" spans="1:5" ht="25.5">
      <c r="A2024" s="2831">
        <v>7830624</v>
      </c>
      <c r="B2024" s="2831" t="s">
        <v>4274</v>
      </c>
      <c r="C2024" s="2831">
        <v>624</v>
      </c>
      <c r="D2024" s="2831" t="s">
        <v>4275</v>
      </c>
      <c r="E2024" s="2831" t="s">
        <v>2166</v>
      </c>
    </row>
    <row r="2025" spans="1:5" ht="25.5">
      <c r="A2025" s="2831">
        <v>7830103</v>
      </c>
      <c r="B2025" s="2831" t="s">
        <v>4276</v>
      </c>
      <c r="C2025" s="2831">
        <v>103</v>
      </c>
      <c r="D2025" s="2831" t="s">
        <v>4277</v>
      </c>
      <c r="E2025" s="2831" t="s">
        <v>2169</v>
      </c>
    </row>
    <row r="2026" spans="1:5" ht="25.5">
      <c r="A2026" s="2831">
        <v>7830644</v>
      </c>
      <c r="B2026" s="2831" t="s">
        <v>4278</v>
      </c>
      <c r="C2026" s="2831">
        <v>644</v>
      </c>
      <c r="D2026" s="2831" t="s">
        <v>4279</v>
      </c>
      <c r="E2026" s="2831" t="s">
        <v>2166</v>
      </c>
    </row>
    <row r="2027" spans="1:5" ht="38.25">
      <c r="A2027" s="2831">
        <v>7830625</v>
      </c>
      <c r="B2027" s="2831" t="s">
        <v>4280</v>
      </c>
      <c r="C2027" s="2831">
        <v>625</v>
      </c>
      <c r="D2027" s="2831" t="s">
        <v>4281</v>
      </c>
      <c r="E2027" s="2831" t="s">
        <v>2166</v>
      </c>
    </row>
    <row r="2028" spans="1:5" ht="25.5">
      <c r="A2028" s="2831">
        <v>7830645</v>
      </c>
      <c r="B2028" s="2831" t="s">
        <v>4282</v>
      </c>
      <c r="C2028" s="2831">
        <v>645</v>
      </c>
      <c r="D2028" s="2831" t="s">
        <v>4283</v>
      </c>
      <c r="E2028" s="2831" t="s">
        <v>2169</v>
      </c>
    </row>
    <row r="2029" spans="1:5" ht="25.5">
      <c r="A2029" s="2831">
        <v>7820212</v>
      </c>
      <c r="B2029" s="2831" t="s">
        <v>4284</v>
      </c>
      <c r="C2029" s="2831">
        <v>212</v>
      </c>
      <c r="D2029" s="2831" t="s">
        <v>4285</v>
      </c>
      <c r="E2029" s="2831" t="s">
        <v>2169</v>
      </c>
    </row>
    <row r="2030" spans="1:5" ht="25.5">
      <c r="A2030" s="2831">
        <v>7820618</v>
      </c>
      <c r="B2030" s="2831" t="s">
        <v>4286</v>
      </c>
      <c r="C2030" s="2831">
        <v>618</v>
      </c>
      <c r="D2030" s="2831" t="s">
        <v>4287</v>
      </c>
      <c r="E2030" s="2831" t="s">
        <v>2169</v>
      </c>
    </row>
    <row r="2031" spans="1:5" ht="25.5">
      <c r="A2031" s="2831">
        <v>7820617</v>
      </c>
      <c r="B2031" s="2831" t="s">
        <v>4288</v>
      </c>
      <c r="C2031" s="2831">
        <v>617</v>
      </c>
      <c r="D2031" s="2831" t="s">
        <v>4289</v>
      </c>
      <c r="E2031" s="2831" t="s">
        <v>2169</v>
      </c>
    </row>
    <row r="2032" spans="1:5" ht="25.5">
      <c r="A2032" s="2831">
        <v>7820613</v>
      </c>
      <c r="B2032" s="2831" t="s">
        <v>4290</v>
      </c>
      <c r="C2032" s="2831">
        <v>613</v>
      </c>
      <c r="D2032" s="2831" t="s">
        <v>4291</v>
      </c>
      <c r="E2032" s="2831" t="s">
        <v>2169</v>
      </c>
    </row>
    <row r="2033" spans="1:5" ht="25.5">
      <c r="A2033" s="2831">
        <v>7820412</v>
      </c>
      <c r="B2033" s="2831" t="s">
        <v>4292</v>
      </c>
      <c r="C2033" s="2831">
        <v>412</v>
      </c>
      <c r="D2033" s="2831" t="s">
        <v>4293</v>
      </c>
      <c r="E2033" s="2831" t="s">
        <v>2166</v>
      </c>
    </row>
    <row r="2034" spans="1:5" ht="25.5">
      <c r="A2034" s="2831">
        <v>7820120</v>
      </c>
      <c r="B2034" s="2831" t="s">
        <v>4294</v>
      </c>
      <c r="C2034" s="2831">
        <v>120</v>
      </c>
      <c r="D2034" s="2831" t="s">
        <v>4295</v>
      </c>
      <c r="E2034" s="2831" t="s">
        <v>2166</v>
      </c>
    </row>
    <row r="2035" spans="1:5" ht="38.25">
      <c r="A2035" s="2831">
        <v>7820616</v>
      </c>
      <c r="B2035" s="2831" t="s">
        <v>4296</v>
      </c>
      <c r="C2035" s="2831">
        <v>616</v>
      </c>
      <c r="D2035" s="2831" t="s">
        <v>4297</v>
      </c>
      <c r="E2035" s="2831" t="s">
        <v>2169</v>
      </c>
    </row>
    <row r="2036" spans="1:5" ht="38.25">
      <c r="A2036" s="2831">
        <v>7820614</v>
      </c>
      <c r="B2036" s="2831" t="s">
        <v>4298</v>
      </c>
      <c r="C2036" s="2831">
        <v>614</v>
      </c>
      <c r="D2036" s="2831" t="s">
        <v>4299</v>
      </c>
      <c r="E2036" s="2831" t="s">
        <v>2166</v>
      </c>
    </row>
    <row r="2037" spans="1:5" ht="38.25">
      <c r="A2037" s="2831">
        <v>7820612</v>
      </c>
      <c r="B2037" s="2831" t="s">
        <v>4300</v>
      </c>
      <c r="C2037" s="2831">
        <v>612</v>
      </c>
      <c r="D2037" s="2831" t="s">
        <v>4301</v>
      </c>
      <c r="E2037" s="2831" t="s">
        <v>2166</v>
      </c>
    </row>
    <row r="2038" spans="1:5" ht="25.5">
      <c r="A2038" s="2831">
        <v>7820108</v>
      </c>
      <c r="B2038" s="2831" t="s">
        <v>4302</v>
      </c>
      <c r="C2038" s="2831">
        <v>108</v>
      </c>
      <c r="D2038" s="2831" t="s">
        <v>4303</v>
      </c>
      <c r="E2038" s="2831" t="s">
        <v>2166</v>
      </c>
    </row>
    <row r="2039" spans="1:5" ht="25.5">
      <c r="A2039" s="2831">
        <v>7820110</v>
      </c>
      <c r="B2039" s="2831" t="s">
        <v>4304</v>
      </c>
      <c r="C2039" s="2831">
        <v>110</v>
      </c>
      <c r="D2039" s="2831" t="s">
        <v>4305</v>
      </c>
      <c r="E2039" s="2831" t="s">
        <v>2169</v>
      </c>
    </row>
    <row r="2040" spans="1:5" ht="25.5">
      <c r="A2040" s="2831">
        <v>7820615</v>
      </c>
      <c r="B2040" s="2831" t="s">
        <v>4306</v>
      </c>
      <c r="C2040" s="2831">
        <v>615</v>
      </c>
      <c r="D2040" s="2831" t="s">
        <v>4307</v>
      </c>
      <c r="E2040" s="2831" t="s">
        <v>2166</v>
      </c>
    </row>
    <row r="2041" spans="1:5" ht="38.25">
      <c r="A2041" s="2831">
        <v>7820121</v>
      </c>
      <c r="B2041" s="2831" t="s">
        <v>4308</v>
      </c>
      <c r="C2041" s="2831">
        <v>121</v>
      </c>
      <c r="D2041" s="2831" t="s">
        <v>4309</v>
      </c>
      <c r="E2041" s="2831" t="s">
        <v>2169</v>
      </c>
    </row>
    <row r="2042" spans="1:5" ht="25.5">
      <c r="A2042" s="2831">
        <v>7820619</v>
      </c>
      <c r="B2042" s="2831" t="s">
        <v>4310</v>
      </c>
      <c r="C2042" s="2831">
        <v>619</v>
      </c>
      <c r="D2042" s="2831" t="s">
        <v>4311</v>
      </c>
      <c r="E2042" s="2831" t="s">
        <v>2174</v>
      </c>
    </row>
    <row r="2043" spans="1:5">
      <c r="A2043" s="2831">
        <v>799</v>
      </c>
      <c r="B2043" s="2831" t="s">
        <v>4312</v>
      </c>
      <c r="C2043" s="2831">
        <v>1893</v>
      </c>
      <c r="D2043" s="2831" t="s">
        <v>4313</v>
      </c>
      <c r="E2043" s="2831" t="s">
        <v>2169</v>
      </c>
    </row>
    <row r="2044" spans="1:5">
      <c r="A2044" s="2831">
        <v>799</v>
      </c>
      <c r="B2044" s="2831" t="s">
        <v>4312</v>
      </c>
      <c r="C2044" s="2831">
        <v>1894</v>
      </c>
      <c r="D2044" s="2831" t="s">
        <v>4314</v>
      </c>
      <c r="E2044" s="2831" t="s">
        <v>2166</v>
      </c>
    </row>
    <row r="2045" spans="1:5">
      <c r="A2045" s="2831">
        <v>799</v>
      </c>
      <c r="B2045" s="2831" t="s">
        <v>4312</v>
      </c>
      <c r="C2045" s="2831">
        <v>1895</v>
      </c>
      <c r="D2045" s="2831" t="s">
        <v>4315</v>
      </c>
      <c r="E2045" s="2831" t="s">
        <v>2169</v>
      </c>
    </row>
    <row r="2046" spans="1:5">
      <c r="A2046" s="2831">
        <v>727</v>
      </c>
      <c r="B2046" s="2831" t="s">
        <v>4316</v>
      </c>
      <c r="C2046" s="2831">
        <v>187</v>
      </c>
      <c r="D2046" s="2831" t="s">
        <v>2550</v>
      </c>
      <c r="E2046" s="2831" t="s">
        <v>2169</v>
      </c>
    </row>
    <row r="2047" spans="1:5">
      <c r="A2047" s="2831">
        <v>727</v>
      </c>
      <c r="B2047" s="2831" t="s">
        <v>4316</v>
      </c>
      <c r="C2047" s="2831">
        <v>296</v>
      </c>
      <c r="D2047" s="2831" t="s">
        <v>4317</v>
      </c>
      <c r="E2047" s="2831" t="s">
        <v>2166</v>
      </c>
    </row>
    <row r="2048" spans="1:5">
      <c r="A2048" s="2831">
        <v>727</v>
      </c>
      <c r="B2048" s="2831" t="s">
        <v>4316</v>
      </c>
      <c r="C2048" s="2831">
        <v>5050</v>
      </c>
      <c r="D2048" s="2831" t="s">
        <v>4318</v>
      </c>
      <c r="E2048" s="2831" t="s">
        <v>2166</v>
      </c>
    </row>
    <row r="2049" spans="1:5">
      <c r="A2049" s="2831">
        <v>727</v>
      </c>
      <c r="B2049" s="2831" t="s">
        <v>4316</v>
      </c>
      <c r="C2049" s="2831">
        <v>104</v>
      </c>
      <c r="D2049" s="2831" t="s">
        <v>4319</v>
      </c>
      <c r="E2049" s="2831" t="s">
        <v>2169</v>
      </c>
    </row>
    <row r="2050" spans="1:5">
      <c r="A2050" s="2831">
        <v>727</v>
      </c>
      <c r="B2050" s="2831" t="s">
        <v>4316</v>
      </c>
      <c r="C2050" s="2831">
        <v>197</v>
      </c>
      <c r="D2050" s="2831" t="s">
        <v>4320</v>
      </c>
      <c r="E2050" s="2831" t="s">
        <v>2169</v>
      </c>
    </row>
    <row r="2051" spans="1:5">
      <c r="A2051" s="2831">
        <v>728</v>
      </c>
      <c r="B2051" s="2831" t="s">
        <v>4321</v>
      </c>
      <c r="C2051" s="2831">
        <v>192</v>
      </c>
      <c r="D2051" s="2831" t="s">
        <v>4322</v>
      </c>
      <c r="E2051" s="2831" t="s">
        <v>2166</v>
      </c>
    </row>
    <row r="2052" spans="1:5">
      <c r="A2052" s="2831">
        <v>728</v>
      </c>
      <c r="B2052" s="2831" t="s">
        <v>4321</v>
      </c>
      <c r="C2052" s="2831">
        <v>201</v>
      </c>
      <c r="D2052" s="2831" t="s">
        <v>4323</v>
      </c>
      <c r="E2052" s="2831" t="s">
        <v>2166</v>
      </c>
    </row>
    <row r="2053" spans="1:5">
      <c r="A2053" s="2831">
        <v>728</v>
      </c>
      <c r="B2053" s="2831" t="s">
        <v>4321</v>
      </c>
      <c r="C2053" s="2831">
        <v>101</v>
      </c>
      <c r="D2053" s="2831" t="s">
        <v>4324</v>
      </c>
      <c r="E2053" s="2831" t="s">
        <v>2174</v>
      </c>
    </row>
    <row r="2054" spans="1:5">
      <c r="A2054" s="2831">
        <v>729</v>
      </c>
      <c r="B2054" s="2831" t="s">
        <v>4325</v>
      </c>
      <c r="C2054" s="2831">
        <v>188</v>
      </c>
      <c r="D2054" s="2831" t="s">
        <v>4326</v>
      </c>
      <c r="E2054" s="2831" t="s">
        <v>2174</v>
      </c>
    </row>
    <row r="2055" spans="1:5">
      <c r="A2055" s="2831">
        <v>729</v>
      </c>
      <c r="B2055" s="2831" t="s">
        <v>4325</v>
      </c>
      <c r="C2055" s="2831">
        <v>397</v>
      </c>
      <c r="D2055" s="2831" t="s">
        <v>4327</v>
      </c>
      <c r="E2055" s="2831" t="s">
        <v>2174</v>
      </c>
    </row>
    <row r="2056" spans="1:5">
      <c r="A2056" s="2831">
        <v>729</v>
      </c>
      <c r="B2056" s="2831" t="s">
        <v>4325</v>
      </c>
      <c r="C2056" s="2831">
        <v>595</v>
      </c>
      <c r="D2056" s="2831" t="s">
        <v>4328</v>
      </c>
      <c r="E2056" s="2831" t="s">
        <v>2166</v>
      </c>
    </row>
    <row r="2057" spans="1:5">
      <c r="A2057" s="2831">
        <v>729</v>
      </c>
      <c r="B2057" s="2831" t="s">
        <v>4325</v>
      </c>
      <c r="C2057" s="2831">
        <v>190</v>
      </c>
      <c r="D2057" s="2831" t="s">
        <v>4329</v>
      </c>
      <c r="E2057" s="2831" t="s">
        <v>2166</v>
      </c>
    </row>
    <row r="2058" spans="1:5">
      <c r="A2058" s="2831">
        <v>729</v>
      </c>
      <c r="B2058" s="2831" t="s">
        <v>4325</v>
      </c>
      <c r="C2058" s="2831">
        <v>100</v>
      </c>
      <c r="D2058" s="2831" t="s">
        <v>4330</v>
      </c>
      <c r="E2058" s="2831" t="s">
        <v>2174</v>
      </c>
    </row>
    <row r="2059" spans="1:5">
      <c r="A2059" s="2831">
        <v>730</v>
      </c>
      <c r="B2059" s="2831" t="s">
        <v>4331</v>
      </c>
      <c r="C2059" s="2831">
        <v>190</v>
      </c>
      <c r="D2059" s="2831" t="s">
        <v>4332</v>
      </c>
      <c r="E2059" s="2831" t="s">
        <v>2166</v>
      </c>
    </row>
    <row r="2060" spans="1:5">
      <c r="A2060" s="2831">
        <v>731</v>
      </c>
      <c r="B2060" s="2831" t="s">
        <v>4333</v>
      </c>
      <c r="C2060" s="2831">
        <v>102</v>
      </c>
      <c r="D2060" s="2831" t="s">
        <v>4334</v>
      </c>
      <c r="E2060" s="2831" t="s">
        <v>2174</v>
      </c>
    </row>
    <row r="2061" spans="1:5">
      <c r="A2061" s="2831">
        <v>732</v>
      </c>
      <c r="B2061" s="2831" t="s">
        <v>4335</v>
      </c>
      <c r="C2061" s="2831">
        <v>602</v>
      </c>
      <c r="D2061" s="2831" t="s">
        <v>4336</v>
      </c>
      <c r="E2061" s="2831" t="s">
        <v>2166</v>
      </c>
    </row>
    <row r="2062" spans="1:5">
      <c r="A2062" s="2831">
        <v>732</v>
      </c>
      <c r="B2062" s="2831" t="s">
        <v>4335</v>
      </c>
      <c r="C2062" s="2831">
        <v>101</v>
      </c>
      <c r="D2062" s="2831" t="s">
        <v>4337</v>
      </c>
      <c r="E2062" s="2831" t="s">
        <v>2169</v>
      </c>
    </row>
    <row r="2063" spans="1:5">
      <c r="A2063" s="2831">
        <v>732</v>
      </c>
      <c r="B2063" s="2831" t="s">
        <v>4335</v>
      </c>
      <c r="C2063" s="2831">
        <v>603</v>
      </c>
      <c r="D2063" s="2831" t="s">
        <v>4338</v>
      </c>
      <c r="E2063" s="2831" t="s">
        <v>2169</v>
      </c>
    </row>
    <row r="2064" spans="1:5">
      <c r="A2064" s="2831">
        <v>732</v>
      </c>
      <c r="B2064" s="2831" t="s">
        <v>4335</v>
      </c>
      <c r="C2064" s="2831">
        <v>201</v>
      </c>
      <c r="D2064" s="2831" t="s">
        <v>4339</v>
      </c>
      <c r="E2064" s="2831" t="s">
        <v>2174</v>
      </c>
    </row>
    <row r="2065" spans="1:5">
      <c r="A2065" s="2831">
        <v>732</v>
      </c>
      <c r="B2065" s="2831" t="s">
        <v>4335</v>
      </c>
      <c r="C2065" s="2831">
        <v>194</v>
      </c>
      <c r="D2065" s="2831" t="s">
        <v>4340</v>
      </c>
      <c r="E2065" s="2831" t="s">
        <v>2169</v>
      </c>
    </row>
    <row r="2066" spans="1:5">
      <c r="A2066" s="2831">
        <v>733</v>
      </c>
      <c r="B2066" s="2831" t="s">
        <v>4341</v>
      </c>
      <c r="C2066" s="2831">
        <v>105</v>
      </c>
      <c r="D2066" s="2831" t="s">
        <v>4342</v>
      </c>
      <c r="E2066" s="2831" t="s">
        <v>2166</v>
      </c>
    </row>
    <row r="2067" spans="1:5">
      <c r="A2067" s="2831">
        <v>733</v>
      </c>
      <c r="B2067" s="2831" t="s">
        <v>4341</v>
      </c>
      <c r="C2067" s="2831">
        <v>201</v>
      </c>
      <c r="D2067" s="2831" t="s">
        <v>4343</v>
      </c>
      <c r="E2067" s="2831" t="s">
        <v>2166</v>
      </c>
    </row>
    <row r="2068" spans="1:5">
      <c r="A2068" s="2831">
        <v>733</v>
      </c>
      <c r="B2068" s="2831" t="s">
        <v>4341</v>
      </c>
      <c r="C2068" s="2831">
        <v>205</v>
      </c>
      <c r="D2068" s="2831" t="s">
        <v>4344</v>
      </c>
      <c r="E2068" s="2831" t="s">
        <v>2166</v>
      </c>
    </row>
    <row r="2069" spans="1:5">
      <c r="A2069" s="2831">
        <v>733</v>
      </c>
      <c r="B2069" s="2831" t="s">
        <v>4341</v>
      </c>
      <c r="C2069" s="2831">
        <v>104</v>
      </c>
      <c r="D2069" s="2831" t="s">
        <v>4345</v>
      </c>
      <c r="E2069" s="2831" t="s">
        <v>2169</v>
      </c>
    </row>
    <row r="2070" spans="1:5">
      <c r="A2070" s="2831">
        <v>734</v>
      </c>
      <c r="B2070" s="2831" t="s">
        <v>4346</v>
      </c>
      <c r="C2070" s="2831">
        <v>104</v>
      </c>
      <c r="D2070" s="2831" t="s">
        <v>4347</v>
      </c>
      <c r="E2070" s="2831" t="s">
        <v>2166</v>
      </c>
    </row>
    <row r="2071" spans="1:5">
      <c r="A2071" s="2831">
        <v>734</v>
      </c>
      <c r="B2071" s="2831" t="s">
        <v>4346</v>
      </c>
      <c r="C2071" s="2831">
        <v>201</v>
      </c>
      <c r="D2071" s="2831" t="s">
        <v>4348</v>
      </c>
      <c r="E2071" s="2831" t="s">
        <v>2166</v>
      </c>
    </row>
    <row r="2072" spans="1:5">
      <c r="A2072" s="2831">
        <v>734</v>
      </c>
      <c r="B2072" s="2831" t="s">
        <v>4346</v>
      </c>
      <c r="C2072" s="2831">
        <v>101</v>
      </c>
      <c r="D2072" s="2831" t="s">
        <v>4349</v>
      </c>
      <c r="E2072" s="2831" t="s">
        <v>2174</v>
      </c>
    </row>
    <row r="2073" spans="1:5">
      <c r="A2073" s="2831">
        <v>735</v>
      </c>
      <c r="B2073" s="2831" t="s">
        <v>4350</v>
      </c>
      <c r="C2073" s="2831">
        <v>1051</v>
      </c>
      <c r="D2073" s="2831" t="s">
        <v>4351</v>
      </c>
      <c r="E2073" s="2831" t="s">
        <v>2174</v>
      </c>
    </row>
    <row r="2074" spans="1:5">
      <c r="A2074" s="2831">
        <v>735</v>
      </c>
      <c r="B2074" s="2831" t="s">
        <v>4350</v>
      </c>
      <c r="C2074" s="2831">
        <v>105</v>
      </c>
      <c r="D2074" s="2831" t="s">
        <v>4352</v>
      </c>
      <c r="E2074" s="2831" t="s">
        <v>2174</v>
      </c>
    </row>
    <row r="2075" spans="1:5">
      <c r="A2075" s="2831">
        <v>735</v>
      </c>
      <c r="B2075" s="2831" t="s">
        <v>4350</v>
      </c>
      <c r="C2075" s="2831">
        <v>109</v>
      </c>
      <c r="D2075" s="2831" t="s">
        <v>4353</v>
      </c>
      <c r="E2075" s="2831" t="s">
        <v>2169</v>
      </c>
    </row>
    <row r="2076" spans="1:5">
      <c r="A2076" s="2831">
        <v>736</v>
      </c>
      <c r="B2076" s="2831" t="s">
        <v>4354</v>
      </c>
      <c r="C2076" s="2831">
        <v>100</v>
      </c>
      <c r="D2076" s="2831" t="s">
        <v>4355</v>
      </c>
      <c r="E2076" s="2831" t="s">
        <v>2174</v>
      </c>
    </row>
    <row r="2077" spans="1:5">
      <c r="A2077" s="2831">
        <v>736</v>
      </c>
      <c r="B2077" s="2831" t="s">
        <v>4354</v>
      </c>
      <c r="C2077" s="2831">
        <v>194</v>
      </c>
      <c r="D2077" s="2831" t="s">
        <v>4356</v>
      </c>
      <c r="E2077" s="2831" t="s">
        <v>2174</v>
      </c>
    </row>
    <row r="2078" spans="1:5">
      <c r="A2078" s="2831">
        <v>736</v>
      </c>
      <c r="B2078" s="2831" t="s">
        <v>4354</v>
      </c>
      <c r="C2078" s="2831">
        <v>5050</v>
      </c>
      <c r="D2078" s="2831" t="s">
        <v>4357</v>
      </c>
      <c r="E2078" s="2831" t="s">
        <v>2174</v>
      </c>
    </row>
    <row r="2079" spans="1:5">
      <c r="A2079" s="2831">
        <v>736</v>
      </c>
      <c r="B2079" s="2831" t="s">
        <v>4354</v>
      </c>
      <c r="C2079" s="2831">
        <v>191</v>
      </c>
      <c r="D2079" s="2831" t="s">
        <v>4358</v>
      </c>
      <c r="E2079" s="2831" t="s">
        <v>2174</v>
      </c>
    </row>
    <row r="2080" spans="1:5">
      <c r="A2080" s="2831">
        <v>736</v>
      </c>
      <c r="B2080" s="2831" t="s">
        <v>4354</v>
      </c>
      <c r="C2080" s="2831">
        <v>205</v>
      </c>
      <c r="D2080" s="2831" t="s">
        <v>4359</v>
      </c>
      <c r="E2080" s="2831" t="s">
        <v>2166</v>
      </c>
    </row>
    <row r="2081" spans="1:5">
      <c r="A2081" s="2831">
        <v>745</v>
      </c>
      <c r="B2081" s="2831" t="s">
        <v>4360</v>
      </c>
      <c r="C2081" s="2831">
        <v>295</v>
      </c>
      <c r="D2081" s="2831" t="s">
        <v>4361</v>
      </c>
      <c r="E2081" s="2831" t="s">
        <v>2174</v>
      </c>
    </row>
    <row r="2082" spans="1:5">
      <c r="A2082" s="2831">
        <v>745</v>
      </c>
      <c r="B2082" s="2831" t="s">
        <v>4360</v>
      </c>
      <c r="C2082" s="2831">
        <v>195</v>
      </c>
      <c r="D2082" s="2831" t="s">
        <v>4362</v>
      </c>
      <c r="E2082" s="2831" t="s">
        <v>2169</v>
      </c>
    </row>
    <row r="2083" spans="1:5">
      <c r="A2083" s="2831">
        <v>745</v>
      </c>
      <c r="B2083" s="2831" t="s">
        <v>4360</v>
      </c>
      <c r="C2083" s="2831">
        <v>395</v>
      </c>
      <c r="D2083" s="2831" t="s">
        <v>4363</v>
      </c>
      <c r="E2083" s="2831" t="s">
        <v>2169</v>
      </c>
    </row>
    <row r="2084" spans="1:5">
      <c r="A2084" s="2831">
        <v>745</v>
      </c>
      <c r="B2084" s="2831" t="s">
        <v>4360</v>
      </c>
      <c r="C2084" s="2831">
        <v>105</v>
      </c>
      <c r="D2084" s="2831" t="s">
        <v>4364</v>
      </c>
      <c r="E2084" s="2831" t="s">
        <v>2174</v>
      </c>
    </row>
    <row r="2085" spans="1:5">
      <c r="A2085" s="2831">
        <v>789</v>
      </c>
      <c r="B2085" s="2831" t="s">
        <v>4365</v>
      </c>
      <c r="C2085" s="2831">
        <v>4050</v>
      </c>
      <c r="D2085" s="2831" t="s">
        <v>2622</v>
      </c>
      <c r="E2085" s="2831" t="s">
        <v>2169</v>
      </c>
    </row>
    <row r="2086" spans="1:5">
      <c r="A2086" s="2831">
        <v>789</v>
      </c>
      <c r="B2086" s="2831" t="s">
        <v>4365</v>
      </c>
      <c r="C2086" s="2831">
        <v>5050</v>
      </c>
      <c r="D2086" s="2831" t="s">
        <v>4366</v>
      </c>
      <c r="E2086" s="2831" t="s">
        <v>2166</v>
      </c>
    </row>
    <row r="2087" spans="1:5">
      <c r="A2087" s="2831">
        <v>789</v>
      </c>
      <c r="B2087" s="2831" t="s">
        <v>4365</v>
      </c>
      <c r="C2087" s="2831">
        <v>3050</v>
      </c>
      <c r="D2087" s="2831" t="s">
        <v>4367</v>
      </c>
      <c r="E2087" s="2831" t="s">
        <v>2169</v>
      </c>
    </row>
    <row r="2088" spans="1:5">
      <c r="A2088" s="2831">
        <v>789</v>
      </c>
      <c r="B2088" s="2831" t="s">
        <v>4365</v>
      </c>
      <c r="C2088" s="2831">
        <v>3052</v>
      </c>
      <c r="D2088" s="2831" t="s">
        <v>4368</v>
      </c>
      <c r="E2088" s="2831" t="s">
        <v>2174</v>
      </c>
    </row>
    <row r="2089" spans="1:5">
      <c r="A2089" s="2831">
        <v>789</v>
      </c>
      <c r="B2089" s="2831" t="s">
        <v>4365</v>
      </c>
      <c r="C2089" s="2831">
        <v>4052</v>
      </c>
      <c r="D2089" s="2831" t="s">
        <v>4369</v>
      </c>
      <c r="E2089" s="2831" t="s">
        <v>2166</v>
      </c>
    </row>
    <row r="2090" spans="1:5">
      <c r="A2090" s="2831">
        <v>737</v>
      </c>
      <c r="B2090" s="2831" t="s">
        <v>4370</v>
      </c>
      <c r="C2090" s="2831">
        <v>104</v>
      </c>
      <c r="D2090" s="2831" t="s">
        <v>4371</v>
      </c>
      <c r="E2090" s="2831" t="s">
        <v>2169</v>
      </c>
    </row>
    <row r="2091" spans="1:5">
      <c r="A2091" s="2831">
        <v>737</v>
      </c>
      <c r="B2091" s="2831" t="s">
        <v>4370</v>
      </c>
      <c r="C2091" s="2831">
        <v>5050</v>
      </c>
      <c r="D2091" s="2831" t="s">
        <v>4372</v>
      </c>
      <c r="E2091" s="2831" t="s">
        <v>2169</v>
      </c>
    </row>
    <row r="2092" spans="1:5">
      <c r="A2092" s="2831">
        <v>737</v>
      </c>
      <c r="B2092" s="2831" t="s">
        <v>4370</v>
      </c>
      <c r="C2092" s="2831">
        <v>299</v>
      </c>
      <c r="D2092" s="2831" t="s">
        <v>4373</v>
      </c>
      <c r="E2092" s="2831" t="s">
        <v>2166</v>
      </c>
    </row>
    <row r="2093" spans="1:5">
      <c r="A2093" s="2831">
        <v>737</v>
      </c>
      <c r="B2093" s="2831" t="s">
        <v>4370</v>
      </c>
      <c r="C2093" s="2831">
        <v>173</v>
      </c>
      <c r="D2093" s="2831" t="s">
        <v>4374</v>
      </c>
      <c r="E2093" s="2831" t="s">
        <v>2174</v>
      </c>
    </row>
    <row r="2094" spans="1:5">
      <c r="A2094" s="2831">
        <v>737</v>
      </c>
      <c r="B2094" s="2831" t="s">
        <v>4370</v>
      </c>
      <c r="C2094" s="2831">
        <v>1052</v>
      </c>
      <c r="D2094" s="2831" t="s">
        <v>4375</v>
      </c>
      <c r="E2094" s="2831" t="s">
        <v>2166</v>
      </c>
    </row>
    <row r="2095" spans="1:5">
      <c r="A2095" s="2831">
        <v>737</v>
      </c>
      <c r="B2095" s="2831" t="s">
        <v>4370</v>
      </c>
      <c r="C2095" s="2831">
        <v>2050</v>
      </c>
      <c r="D2095" s="2831" t="s">
        <v>4376</v>
      </c>
      <c r="E2095" s="2831" t="s">
        <v>2166</v>
      </c>
    </row>
    <row r="2096" spans="1:5">
      <c r="A2096" s="2831">
        <v>737</v>
      </c>
      <c r="B2096" s="2831" t="s">
        <v>4370</v>
      </c>
      <c r="C2096" s="2831">
        <v>4052</v>
      </c>
      <c r="D2096" s="2831" t="s">
        <v>4377</v>
      </c>
      <c r="E2096" s="2831" t="s">
        <v>2166</v>
      </c>
    </row>
    <row r="2097" spans="1:5">
      <c r="A2097" s="2831">
        <v>737</v>
      </c>
      <c r="B2097" s="2831" t="s">
        <v>4370</v>
      </c>
      <c r="C2097" s="2831">
        <v>3052</v>
      </c>
      <c r="D2097" s="2831" t="s">
        <v>4378</v>
      </c>
      <c r="E2097" s="2831" t="s">
        <v>2166</v>
      </c>
    </row>
    <row r="2098" spans="1:5">
      <c r="A2098" s="2831">
        <v>737</v>
      </c>
      <c r="B2098" s="2831" t="s">
        <v>4370</v>
      </c>
      <c r="C2098" s="2831">
        <v>3050</v>
      </c>
      <c r="D2098" s="2831" t="s">
        <v>2870</v>
      </c>
      <c r="E2098" s="2831" t="s">
        <v>2169</v>
      </c>
    </row>
    <row r="2099" spans="1:5">
      <c r="A2099" s="2831">
        <v>737</v>
      </c>
      <c r="B2099" s="2831" t="s">
        <v>4370</v>
      </c>
      <c r="C2099" s="2831">
        <v>4050</v>
      </c>
      <c r="D2099" s="2831" t="s">
        <v>4379</v>
      </c>
      <c r="E2099" s="2831" t="s">
        <v>2166</v>
      </c>
    </row>
    <row r="2100" spans="1:5">
      <c r="A2100" s="2831">
        <v>737</v>
      </c>
      <c r="B2100" s="2831" t="s">
        <v>4370</v>
      </c>
      <c r="C2100" s="2831">
        <v>199</v>
      </c>
      <c r="D2100" s="2831" t="s">
        <v>4380</v>
      </c>
      <c r="E2100" s="2831" t="s">
        <v>2169</v>
      </c>
    </row>
    <row r="2101" spans="1:5">
      <c r="A2101" s="2831">
        <v>738</v>
      </c>
      <c r="B2101" s="2831" t="s">
        <v>4381</v>
      </c>
      <c r="C2101" s="2831">
        <v>104</v>
      </c>
      <c r="D2101" s="2831" t="s">
        <v>4382</v>
      </c>
      <c r="E2101" s="2831" t="s">
        <v>2169</v>
      </c>
    </row>
    <row r="2102" spans="1:5">
      <c r="A2102" s="2831">
        <v>738</v>
      </c>
      <c r="B2102" s="2831" t="s">
        <v>4381</v>
      </c>
      <c r="C2102" s="2831">
        <v>204</v>
      </c>
      <c r="D2102" s="2831" t="s">
        <v>4383</v>
      </c>
      <c r="E2102" s="2831" t="s">
        <v>2166</v>
      </c>
    </row>
    <row r="2103" spans="1:5">
      <c r="A2103" s="2831">
        <v>738</v>
      </c>
      <c r="B2103" s="2831" t="s">
        <v>4381</v>
      </c>
      <c r="C2103" s="2831">
        <v>4050</v>
      </c>
      <c r="D2103" s="2831" t="s">
        <v>4384</v>
      </c>
      <c r="E2103" s="2831" t="s">
        <v>2174</v>
      </c>
    </row>
    <row r="2104" spans="1:5">
      <c r="A2104" s="2831">
        <v>738</v>
      </c>
      <c r="B2104" s="2831" t="s">
        <v>4381</v>
      </c>
      <c r="C2104" s="2831">
        <v>192</v>
      </c>
      <c r="D2104" s="2831" t="s">
        <v>4385</v>
      </c>
      <c r="E2104" s="2831" t="s">
        <v>2174</v>
      </c>
    </row>
    <row r="2105" spans="1:5">
      <c r="A2105" s="2831">
        <v>738</v>
      </c>
      <c r="B2105" s="2831" t="s">
        <v>4381</v>
      </c>
      <c r="C2105" s="2831">
        <v>103</v>
      </c>
      <c r="D2105" s="2831" t="s">
        <v>4386</v>
      </c>
      <c r="E2105" s="2831" t="s">
        <v>2169</v>
      </c>
    </row>
    <row r="2106" spans="1:5">
      <c r="A2106" s="2831">
        <v>739</v>
      </c>
      <c r="B2106" s="2831" t="s">
        <v>4387</v>
      </c>
      <c r="C2106" s="2831">
        <v>103</v>
      </c>
      <c r="D2106" s="2831" t="s">
        <v>4388</v>
      </c>
      <c r="E2106" s="2831" t="s">
        <v>2166</v>
      </c>
    </row>
    <row r="2107" spans="1:5">
      <c r="A2107" s="2831">
        <v>739</v>
      </c>
      <c r="B2107" s="2831" t="s">
        <v>4387</v>
      </c>
      <c r="C2107" s="2831">
        <v>204</v>
      </c>
      <c r="D2107" s="2831" t="s">
        <v>4389</v>
      </c>
      <c r="E2107" s="2831" t="s">
        <v>2166</v>
      </c>
    </row>
    <row r="2108" spans="1:5">
      <c r="A2108" s="2831">
        <v>739</v>
      </c>
      <c r="B2108" s="2831" t="s">
        <v>4387</v>
      </c>
      <c r="C2108" s="2831">
        <v>104</v>
      </c>
      <c r="D2108" s="2831" t="s">
        <v>4390</v>
      </c>
      <c r="E2108" s="2831" t="s">
        <v>2166</v>
      </c>
    </row>
    <row r="2109" spans="1:5">
      <c r="A2109" s="2831">
        <v>740</v>
      </c>
      <c r="B2109" s="2831" t="s">
        <v>4391</v>
      </c>
      <c r="C2109" s="2831">
        <v>113</v>
      </c>
      <c r="D2109" s="2831" t="s">
        <v>4392</v>
      </c>
      <c r="E2109" s="2831" t="s">
        <v>2174</v>
      </c>
    </row>
    <row r="2110" spans="1:5">
      <c r="A2110" s="2831">
        <v>740</v>
      </c>
      <c r="B2110" s="2831" t="s">
        <v>4391</v>
      </c>
      <c r="C2110" s="2831">
        <v>213</v>
      </c>
      <c r="D2110" s="2831" t="s">
        <v>4393</v>
      </c>
      <c r="E2110" s="2831" t="s">
        <v>2169</v>
      </c>
    </row>
    <row r="2111" spans="1:5">
      <c r="A2111" s="2831">
        <v>791</v>
      </c>
      <c r="B2111" s="2831" t="s">
        <v>4394</v>
      </c>
      <c r="C2111" s="2831">
        <v>101</v>
      </c>
      <c r="D2111" s="2831" t="s">
        <v>4395</v>
      </c>
      <c r="E2111" s="2831" t="s">
        <v>2166</v>
      </c>
    </row>
    <row r="2112" spans="1:5">
      <c r="A2112" s="2831">
        <v>791</v>
      </c>
      <c r="B2112" s="2831" t="s">
        <v>4394</v>
      </c>
      <c r="C2112" s="2831">
        <v>301</v>
      </c>
      <c r="D2112" s="2831" t="s">
        <v>4396</v>
      </c>
      <c r="E2112" s="2831" t="s">
        <v>2166</v>
      </c>
    </row>
    <row r="2113" spans="1:5">
      <c r="A2113" s="2831">
        <v>791</v>
      </c>
      <c r="B2113" s="2831" t="s">
        <v>4394</v>
      </c>
      <c r="C2113" s="2831">
        <v>201</v>
      </c>
      <c r="D2113" s="2831" t="s">
        <v>4397</v>
      </c>
      <c r="E2113" s="2831" t="s">
        <v>2174</v>
      </c>
    </row>
    <row r="2114" spans="1:5">
      <c r="A2114" s="2831">
        <v>741</v>
      </c>
      <c r="B2114" s="2831" t="s">
        <v>4398</v>
      </c>
      <c r="C2114" s="2831">
        <v>5052</v>
      </c>
      <c r="D2114" s="2831" t="s">
        <v>4399</v>
      </c>
      <c r="E2114" s="2831" t="s">
        <v>2166</v>
      </c>
    </row>
    <row r="2115" spans="1:5">
      <c r="A2115" s="2831">
        <v>741</v>
      </c>
      <c r="B2115" s="2831" t="s">
        <v>4398</v>
      </c>
      <c r="C2115" s="2831">
        <v>109</v>
      </c>
      <c r="D2115" s="2831" t="s">
        <v>2612</v>
      </c>
      <c r="E2115" s="2831" t="s">
        <v>2169</v>
      </c>
    </row>
    <row r="2116" spans="1:5">
      <c r="A2116" s="2831">
        <v>741</v>
      </c>
      <c r="B2116" s="2831" t="s">
        <v>4398</v>
      </c>
      <c r="C2116" s="2831">
        <v>201</v>
      </c>
      <c r="D2116" s="2831" t="s">
        <v>4400</v>
      </c>
      <c r="E2116" s="2831" t="s">
        <v>2174</v>
      </c>
    </row>
    <row r="2117" spans="1:5">
      <c r="A2117" s="2831">
        <v>741</v>
      </c>
      <c r="B2117" s="2831" t="s">
        <v>4398</v>
      </c>
      <c r="C2117" s="2831">
        <v>204</v>
      </c>
      <c r="D2117" s="2831" t="s">
        <v>4401</v>
      </c>
      <c r="E2117" s="2831" t="s">
        <v>2166</v>
      </c>
    </row>
    <row r="2118" spans="1:5">
      <c r="A2118" s="2831">
        <v>741</v>
      </c>
      <c r="B2118" s="2831" t="s">
        <v>4398</v>
      </c>
      <c r="C2118" s="2831">
        <v>698</v>
      </c>
      <c r="D2118" s="2831" t="s">
        <v>4402</v>
      </c>
      <c r="E2118" s="2831" t="s">
        <v>2169</v>
      </c>
    </row>
    <row r="2119" spans="1:5">
      <c r="A2119" s="2831">
        <v>741</v>
      </c>
      <c r="B2119" s="2831" t="s">
        <v>4398</v>
      </c>
      <c r="C2119" s="2831">
        <v>597</v>
      </c>
      <c r="D2119" s="2831" t="s">
        <v>4403</v>
      </c>
      <c r="E2119" s="2831" t="s">
        <v>2166</v>
      </c>
    </row>
    <row r="2120" spans="1:5">
      <c r="A2120" s="2831">
        <v>741</v>
      </c>
      <c r="B2120" s="2831" t="s">
        <v>4398</v>
      </c>
      <c r="C2120" s="2831">
        <v>205</v>
      </c>
      <c r="D2120" s="2831" t="s">
        <v>4404</v>
      </c>
      <c r="E2120" s="2831" t="s">
        <v>2166</v>
      </c>
    </row>
    <row r="2121" spans="1:5">
      <c r="A2121" s="2831">
        <v>741</v>
      </c>
      <c r="B2121" s="2831" t="s">
        <v>4398</v>
      </c>
      <c r="C2121" s="2831">
        <v>191</v>
      </c>
      <c r="D2121" s="2831" t="s">
        <v>4405</v>
      </c>
      <c r="E2121" s="2831" t="s">
        <v>2166</v>
      </c>
    </row>
    <row r="2122" spans="1:5">
      <c r="A2122" s="2831">
        <v>741</v>
      </c>
      <c r="B2122" s="2831" t="s">
        <v>4398</v>
      </c>
      <c r="C2122" s="2831">
        <v>3050</v>
      </c>
      <c r="D2122" s="2831" t="s">
        <v>4406</v>
      </c>
      <c r="E2122" s="2831" t="s">
        <v>2174</v>
      </c>
    </row>
    <row r="2123" spans="1:5">
      <c r="A2123" s="2831">
        <v>741</v>
      </c>
      <c r="B2123" s="2831" t="s">
        <v>4398</v>
      </c>
      <c r="C2123" s="2831">
        <v>397</v>
      </c>
      <c r="D2123" s="2831" t="s">
        <v>4407</v>
      </c>
      <c r="E2123" s="2831" t="s">
        <v>2174</v>
      </c>
    </row>
    <row r="2124" spans="1:5">
      <c r="A2124" s="2831">
        <v>741</v>
      </c>
      <c r="B2124" s="2831" t="s">
        <v>4398</v>
      </c>
      <c r="C2124" s="2831">
        <v>194</v>
      </c>
      <c r="D2124" s="2831" t="s">
        <v>4408</v>
      </c>
      <c r="E2124" s="2831" t="s">
        <v>2169</v>
      </c>
    </row>
    <row r="2125" spans="1:5">
      <c r="A2125" s="2831">
        <v>741</v>
      </c>
      <c r="B2125" s="2831" t="s">
        <v>4398</v>
      </c>
      <c r="C2125" s="2831">
        <v>1052</v>
      </c>
      <c r="D2125" s="2831" t="s">
        <v>4409</v>
      </c>
      <c r="E2125" s="2831" t="s">
        <v>2166</v>
      </c>
    </row>
    <row r="2126" spans="1:5">
      <c r="A2126" s="2831">
        <v>741</v>
      </c>
      <c r="B2126" s="2831" t="s">
        <v>4398</v>
      </c>
      <c r="C2126" s="2831">
        <v>189</v>
      </c>
      <c r="D2126" s="2831" t="s">
        <v>4410</v>
      </c>
      <c r="E2126" s="2831" t="s">
        <v>2174</v>
      </c>
    </row>
    <row r="2127" spans="1:5">
      <c r="A2127" s="2831">
        <v>741</v>
      </c>
      <c r="B2127" s="2831" t="s">
        <v>4398</v>
      </c>
      <c r="C2127" s="2831">
        <v>297</v>
      </c>
      <c r="D2127" s="2831" t="s">
        <v>4411</v>
      </c>
      <c r="E2127" s="2831" t="s">
        <v>2166</v>
      </c>
    </row>
    <row r="2128" spans="1:5">
      <c r="A2128" s="2831">
        <v>741</v>
      </c>
      <c r="B2128" s="2831" t="s">
        <v>4398</v>
      </c>
      <c r="C2128" s="2831">
        <v>5050</v>
      </c>
      <c r="D2128" s="2831" t="s">
        <v>4412</v>
      </c>
      <c r="E2128" s="2831" t="s">
        <v>2166</v>
      </c>
    </row>
    <row r="2129" spans="1:5">
      <c r="A2129" s="2831">
        <v>741</v>
      </c>
      <c r="B2129" s="2831" t="s">
        <v>4398</v>
      </c>
      <c r="C2129" s="2831">
        <v>387</v>
      </c>
      <c r="D2129" s="2831" t="s">
        <v>4413</v>
      </c>
      <c r="E2129" s="2831" t="s">
        <v>2169</v>
      </c>
    </row>
    <row r="2130" spans="1:5">
      <c r="A2130" s="2831">
        <v>741</v>
      </c>
      <c r="B2130" s="2831" t="s">
        <v>4398</v>
      </c>
      <c r="C2130" s="2831">
        <v>187</v>
      </c>
      <c r="D2130" s="2831" t="s">
        <v>4414</v>
      </c>
      <c r="E2130" s="2831" t="s">
        <v>2166</v>
      </c>
    </row>
    <row r="2131" spans="1:5">
      <c r="A2131" s="2831">
        <v>742</v>
      </c>
      <c r="B2131" s="2831" t="s">
        <v>4415</v>
      </c>
      <c r="C2131" s="2831">
        <v>196</v>
      </c>
      <c r="D2131" s="2831" t="s">
        <v>4416</v>
      </c>
      <c r="E2131" s="2831" t="s">
        <v>2169</v>
      </c>
    </row>
    <row r="2132" spans="1:5">
      <c r="A2132" s="2831">
        <v>742</v>
      </c>
      <c r="B2132" s="2831" t="s">
        <v>4415</v>
      </c>
      <c r="C2132" s="2831">
        <v>3050</v>
      </c>
      <c r="D2132" s="2831" t="s">
        <v>4417</v>
      </c>
      <c r="E2132" s="2831" t="s">
        <v>2174</v>
      </c>
    </row>
    <row r="2133" spans="1:5">
      <c r="A2133" s="2831">
        <v>742</v>
      </c>
      <c r="B2133" s="2831" t="s">
        <v>4415</v>
      </c>
      <c r="C2133" s="2831">
        <v>190</v>
      </c>
      <c r="D2133" s="2831" t="s">
        <v>4418</v>
      </c>
      <c r="E2133" s="2831" t="s">
        <v>2169</v>
      </c>
    </row>
    <row r="2134" spans="1:5">
      <c r="A2134" s="2831">
        <v>743</v>
      </c>
      <c r="B2134" s="2831" t="s">
        <v>4419</v>
      </c>
      <c r="C2134" s="2831">
        <v>107</v>
      </c>
      <c r="D2134" s="2831" t="s">
        <v>4420</v>
      </c>
      <c r="E2134" s="2831" t="s">
        <v>2169</v>
      </c>
    </row>
    <row r="2135" spans="1:5">
      <c r="A2135" s="2831">
        <v>743</v>
      </c>
      <c r="B2135" s="2831" t="s">
        <v>4419</v>
      </c>
      <c r="C2135" s="2831">
        <v>201</v>
      </c>
      <c r="D2135" s="2831" t="s">
        <v>4421</v>
      </c>
      <c r="E2135" s="2831" t="s">
        <v>2169</v>
      </c>
    </row>
    <row r="2136" spans="1:5">
      <c r="A2136" s="2831">
        <v>743</v>
      </c>
      <c r="B2136" s="2831" t="s">
        <v>4419</v>
      </c>
      <c r="C2136" s="2831">
        <v>207</v>
      </c>
      <c r="D2136" s="2831" t="s">
        <v>4422</v>
      </c>
      <c r="E2136" s="2831" t="s">
        <v>2166</v>
      </c>
    </row>
    <row r="2137" spans="1:5">
      <c r="A2137" s="2831">
        <v>744</v>
      </c>
      <c r="B2137" s="2831" t="s">
        <v>4423</v>
      </c>
      <c r="C2137" s="2831">
        <v>103</v>
      </c>
      <c r="D2137" s="2831" t="s">
        <v>4424</v>
      </c>
      <c r="E2137" s="2831" t="s">
        <v>2174</v>
      </c>
    </row>
    <row r="2138" spans="1:5">
      <c r="A2138" s="2831">
        <v>744</v>
      </c>
      <c r="B2138" s="2831" t="s">
        <v>4423</v>
      </c>
      <c r="C2138" s="2831">
        <v>101</v>
      </c>
      <c r="D2138" s="2831" t="s">
        <v>4425</v>
      </c>
      <c r="E2138" s="2831" t="s">
        <v>2166</v>
      </c>
    </row>
    <row r="2139" spans="1:5">
      <c r="A2139" s="2831">
        <v>744</v>
      </c>
      <c r="B2139" s="2831" t="s">
        <v>4423</v>
      </c>
      <c r="C2139" s="2831">
        <v>108</v>
      </c>
      <c r="D2139" s="2831" t="s">
        <v>4426</v>
      </c>
      <c r="E2139" s="2831" t="s">
        <v>2169</v>
      </c>
    </row>
    <row r="2140" spans="1:5">
      <c r="A2140" s="2831">
        <v>744</v>
      </c>
      <c r="B2140" s="2831" t="s">
        <v>4423</v>
      </c>
      <c r="C2140" s="2831">
        <v>1050</v>
      </c>
      <c r="D2140" s="2831" t="s">
        <v>4427</v>
      </c>
      <c r="E2140" s="2831" t="s">
        <v>2174</v>
      </c>
    </row>
    <row r="2141" spans="1:5">
      <c r="A2141" s="2831">
        <v>792</v>
      </c>
      <c r="B2141" s="2831" t="s">
        <v>4428</v>
      </c>
      <c r="C2141" s="2831">
        <v>106</v>
      </c>
      <c r="D2141" s="2831" t="s">
        <v>4429</v>
      </c>
      <c r="E2141" s="2831" t="s">
        <v>2174</v>
      </c>
    </row>
    <row r="2142" spans="1:5">
      <c r="A2142" s="2831">
        <v>792</v>
      </c>
      <c r="B2142" s="2831" t="s">
        <v>4428</v>
      </c>
      <c r="C2142" s="2831">
        <v>195</v>
      </c>
      <c r="D2142" s="2831" t="s">
        <v>4430</v>
      </c>
      <c r="E2142" s="2831" t="s">
        <v>2169</v>
      </c>
    </row>
    <row r="2143" spans="1:5">
      <c r="A2143" s="2831">
        <v>792</v>
      </c>
      <c r="B2143" s="2831" t="s">
        <v>4428</v>
      </c>
      <c r="C2143" s="2831">
        <v>117</v>
      </c>
      <c r="D2143" s="2831" t="s">
        <v>4431</v>
      </c>
      <c r="E2143" s="2831" t="s">
        <v>2174</v>
      </c>
    </row>
    <row r="2144" spans="1:5">
      <c r="A2144" s="2831">
        <v>792</v>
      </c>
      <c r="B2144" s="2831" t="s">
        <v>4428</v>
      </c>
      <c r="C2144" s="2831">
        <v>309</v>
      </c>
      <c r="D2144" s="2831" t="s">
        <v>4432</v>
      </c>
      <c r="E2144" s="2831" t="s">
        <v>2169</v>
      </c>
    </row>
    <row r="2145" spans="1:5">
      <c r="A2145" s="2831">
        <v>792</v>
      </c>
      <c r="B2145" s="2831" t="s">
        <v>4428</v>
      </c>
      <c r="C2145" s="2831">
        <v>101</v>
      </c>
      <c r="D2145" s="2831" t="s">
        <v>4433</v>
      </c>
      <c r="E2145" s="2831" t="s">
        <v>2174</v>
      </c>
    </row>
    <row r="2146" spans="1:5">
      <c r="A2146" s="2831">
        <v>792</v>
      </c>
      <c r="B2146" s="2831" t="s">
        <v>4428</v>
      </c>
      <c r="C2146" s="2831">
        <v>273</v>
      </c>
      <c r="D2146" s="2831" t="s">
        <v>4434</v>
      </c>
      <c r="E2146" s="2831" t="s">
        <v>2174</v>
      </c>
    </row>
    <row r="2147" spans="1:5">
      <c r="A2147" s="2831">
        <v>792</v>
      </c>
      <c r="B2147" s="2831" t="s">
        <v>4428</v>
      </c>
      <c r="C2147" s="2831">
        <v>103</v>
      </c>
      <c r="D2147" s="2831" t="s">
        <v>4435</v>
      </c>
      <c r="E2147" s="2831" t="s">
        <v>2166</v>
      </c>
    </row>
    <row r="2148" spans="1:5">
      <c r="A2148" s="2831">
        <v>792</v>
      </c>
      <c r="B2148" s="2831" t="s">
        <v>4428</v>
      </c>
      <c r="C2148" s="2831">
        <v>1052</v>
      </c>
      <c r="D2148" s="2831" t="s">
        <v>4436</v>
      </c>
      <c r="E2148" s="2831" t="s">
        <v>2174</v>
      </c>
    </row>
    <row r="2149" spans="1:5">
      <c r="A2149" s="2831">
        <v>793</v>
      </c>
      <c r="B2149" s="2831" t="s">
        <v>4437</v>
      </c>
      <c r="C2149" s="2831">
        <v>2050</v>
      </c>
      <c r="D2149" s="2831" t="s">
        <v>4438</v>
      </c>
      <c r="E2149" s="2831" t="s">
        <v>2169</v>
      </c>
    </row>
    <row r="2150" spans="1:5">
      <c r="A2150" s="2831">
        <v>793</v>
      </c>
      <c r="B2150" s="2831" t="s">
        <v>4437</v>
      </c>
      <c r="C2150" s="2831">
        <v>173</v>
      </c>
      <c r="D2150" s="2831" t="s">
        <v>4439</v>
      </c>
      <c r="E2150" s="2831" t="s">
        <v>2166</v>
      </c>
    </row>
    <row r="2151" spans="1:5">
      <c r="A2151" s="2831">
        <v>793</v>
      </c>
      <c r="B2151" s="2831" t="s">
        <v>4437</v>
      </c>
      <c r="C2151" s="2831">
        <v>5050</v>
      </c>
      <c r="D2151" s="2831" t="s">
        <v>4440</v>
      </c>
      <c r="E2151" s="2831" t="s">
        <v>2169</v>
      </c>
    </row>
    <row r="2152" spans="1:5">
      <c r="A2152" s="2831">
        <v>793</v>
      </c>
      <c r="B2152" s="2831" t="s">
        <v>4437</v>
      </c>
      <c r="C2152" s="2831">
        <v>273</v>
      </c>
      <c r="D2152" s="2831" t="s">
        <v>4441</v>
      </c>
      <c r="E2152" s="2831" t="s">
        <v>2169</v>
      </c>
    </row>
    <row r="2153" spans="1:5">
      <c r="A2153" s="2831">
        <v>746</v>
      </c>
      <c r="B2153" s="2831" t="s">
        <v>4442</v>
      </c>
      <c r="C2153" s="2831">
        <v>4050</v>
      </c>
      <c r="D2153" s="2831" t="s">
        <v>4443</v>
      </c>
      <c r="E2153" s="2831" t="s">
        <v>2169</v>
      </c>
    </row>
    <row r="2154" spans="1:5">
      <c r="A2154" s="2831">
        <v>746</v>
      </c>
      <c r="B2154" s="2831" t="s">
        <v>4442</v>
      </c>
      <c r="C2154" s="2831">
        <v>106</v>
      </c>
      <c r="D2154" s="2831" t="s">
        <v>4444</v>
      </c>
      <c r="E2154" s="2831" t="s">
        <v>2169</v>
      </c>
    </row>
    <row r="2155" spans="1:5">
      <c r="A2155" s="2831">
        <v>746</v>
      </c>
      <c r="B2155" s="2831" t="s">
        <v>4442</v>
      </c>
      <c r="C2155" s="2831">
        <v>199</v>
      </c>
      <c r="D2155" s="2831" t="s">
        <v>4445</v>
      </c>
      <c r="E2155" s="2831" t="s">
        <v>2174</v>
      </c>
    </row>
    <row r="2156" spans="1:5">
      <c r="A2156" s="2831">
        <v>746</v>
      </c>
      <c r="B2156" s="2831" t="s">
        <v>4442</v>
      </c>
      <c r="C2156" s="2831">
        <v>2052</v>
      </c>
      <c r="D2156" s="2831" t="s">
        <v>4446</v>
      </c>
      <c r="E2156" s="2831" t="s">
        <v>2174</v>
      </c>
    </row>
    <row r="2157" spans="1:5">
      <c r="A2157" s="2831">
        <v>746</v>
      </c>
      <c r="B2157" s="2831" t="s">
        <v>4442</v>
      </c>
      <c r="C2157" s="2831">
        <v>195</v>
      </c>
      <c r="D2157" s="2831" t="s">
        <v>4447</v>
      </c>
      <c r="E2157" s="2831" t="s">
        <v>2169</v>
      </c>
    </row>
    <row r="2158" spans="1:5">
      <c r="A2158" s="2831">
        <v>746</v>
      </c>
      <c r="B2158" s="2831" t="s">
        <v>4442</v>
      </c>
      <c r="C2158" s="2831">
        <v>198</v>
      </c>
      <c r="D2158" s="2831" t="s">
        <v>4448</v>
      </c>
      <c r="E2158" s="2831" t="s">
        <v>2174</v>
      </c>
    </row>
    <row r="2159" spans="1:5">
      <c r="A2159" s="2831">
        <v>746</v>
      </c>
      <c r="B2159" s="2831" t="s">
        <v>4442</v>
      </c>
      <c r="C2159" s="2831">
        <v>180</v>
      </c>
      <c r="D2159" s="2831" t="s">
        <v>4449</v>
      </c>
      <c r="E2159" s="2831" t="s">
        <v>2166</v>
      </c>
    </row>
    <row r="2160" spans="1:5">
      <c r="A2160" s="2831">
        <v>746</v>
      </c>
      <c r="B2160" s="2831" t="s">
        <v>4442</v>
      </c>
      <c r="C2160" s="2831">
        <v>2056</v>
      </c>
      <c r="D2160" s="2831" t="s">
        <v>4450</v>
      </c>
      <c r="E2160" s="2831" t="s">
        <v>2174</v>
      </c>
    </row>
    <row r="2161" spans="1:5">
      <c r="A2161" s="2831">
        <v>746</v>
      </c>
      <c r="B2161" s="2831" t="s">
        <v>4442</v>
      </c>
      <c r="C2161" s="2831">
        <v>200</v>
      </c>
      <c r="D2161" s="2831" t="s">
        <v>4451</v>
      </c>
      <c r="E2161" s="2831" t="s">
        <v>2169</v>
      </c>
    </row>
    <row r="2162" spans="1:5">
      <c r="A2162" s="2831">
        <v>746</v>
      </c>
      <c r="B2162" s="2831" t="s">
        <v>4442</v>
      </c>
      <c r="C2162" s="2831">
        <v>190</v>
      </c>
      <c r="D2162" s="2831" t="s">
        <v>4452</v>
      </c>
      <c r="E2162" s="2831" t="s">
        <v>2166</v>
      </c>
    </row>
    <row r="2163" spans="1:5">
      <c r="A2163" s="2831">
        <v>746</v>
      </c>
      <c r="B2163" s="2831" t="s">
        <v>4442</v>
      </c>
      <c r="C2163" s="2831">
        <v>100</v>
      </c>
      <c r="D2163" s="2831" t="s">
        <v>4453</v>
      </c>
      <c r="E2163" s="2831" t="s">
        <v>2169</v>
      </c>
    </row>
    <row r="2164" spans="1:5">
      <c r="A2164" s="2831">
        <v>746</v>
      </c>
      <c r="B2164" s="2831" t="s">
        <v>4442</v>
      </c>
      <c r="C2164" s="2831">
        <v>194</v>
      </c>
      <c r="D2164" s="2831" t="s">
        <v>4454</v>
      </c>
      <c r="E2164" s="2831" t="s">
        <v>2169</v>
      </c>
    </row>
    <row r="2165" spans="1:5">
      <c r="A2165" s="2831">
        <v>746</v>
      </c>
      <c r="B2165" s="2831" t="s">
        <v>4442</v>
      </c>
      <c r="C2165" s="2831">
        <v>206</v>
      </c>
      <c r="D2165" s="2831" t="s">
        <v>4455</v>
      </c>
      <c r="E2165" s="2831" t="s">
        <v>2166</v>
      </c>
    </row>
    <row r="2166" spans="1:5">
      <c r="A2166" s="2831">
        <v>746</v>
      </c>
      <c r="B2166" s="2831" t="s">
        <v>4442</v>
      </c>
      <c r="C2166" s="2831">
        <v>114</v>
      </c>
      <c r="D2166" s="2831" t="s">
        <v>4456</v>
      </c>
      <c r="E2166" s="2831" t="s">
        <v>2166</v>
      </c>
    </row>
    <row r="2167" spans="1:5">
      <c r="A2167" s="2831">
        <v>746</v>
      </c>
      <c r="B2167" s="2831" t="s">
        <v>4442</v>
      </c>
      <c r="C2167" s="2831">
        <v>5052</v>
      </c>
      <c r="D2167" s="2831" t="s">
        <v>4457</v>
      </c>
      <c r="E2167" s="2831" t="s">
        <v>2166</v>
      </c>
    </row>
    <row r="2168" spans="1:5">
      <c r="A2168" s="2831">
        <v>747</v>
      </c>
      <c r="B2168" s="2831" t="s">
        <v>4458</v>
      </c>
      <c r="C2168" s="2831">
        <v>101</v>
      </c>
      <c r="D2168" s="2831" t="s">
        <v>4459</v>
      </c>
      <c r="E2168" s="2831" t="s">
        <v>2174</v>
      </c>
    </row>
    <row r="2169" spans="1:5">
      <c r="A2169" s="2831">
        <v>747</v>
      </c>
      <c r="B2169" s="2831" t="s">
        <v>4458</v>
      </c>
      <c r="C2169" s="2831">
        <v>176</v>
      </c>
      <c r="D2169" s="2831" t="s">
        <v>4460</v>
      </c>
      <c r="E2169" s="2831" t="s">
        <v>2174</v>
      </c>
    </row>
    <row r="2170" spans="1:5">
      <c r="A2170" s="2831">
        <v>747</v>
      </c>
      <c r="B2170" s="2831" t="s">
        <v>4458</v>
      </c>
      <c r="C2170" s="2831">
        <v>193</v>
      </c>
      <c r="D2170" s="2831" t="s">
        <v>4461</v>
      </c>
      <c r="E2170" s="2831" t="s">
        <v>2166</v>
      </c>
    </row>
    <row r="2171" spans="1:5">
      <c r="A2171" s="2831">
        <v>747</v>
      </c>
      <c r="B2171" s="2831" t="s">
        <v>4458</v>
      </c>
      <c r="C2171" s="2831">
        <v>112</v>
      </c>
      <c r="D2171" s="2831" t="s">
        <v>3461</v>
      </c>
      <c r="E2171" s="2831" t="s">
        <v>2166</v>
      </c>
    </row>
    <row r="2172" spans="1:5">
      <c r="A2172" s="2831">
        <v>747</v>
      </c>
      <c r="B2172" s="2831" t="s">
        <v>4458</v>
      </c>
      <c r="C2172" s="2831">
        <v>191</v>
      </c>
      <c r="D2172" s="2831" t="s">
        <v>4462</v>
      </c>
      <c r="E2172" s="2831" t="s">
        <v>2174</v>
      </c>
    </row>
    <row r="2173" spans="1:5">
      <c r="A2173" s="2831">
        <v>747</v>
      </c>
      <c r="B2173" s="2831" t="s">
        <v>4458</v>
      </c>
      <c r="C2173" s="2831">
        <v>199</v>
      </c>
      <c r="D2173" s="2831" t="s">
        <v>4463</v>
      </c>
      <c r="E2173" s="2831" t="s">
        <v>2174</v>
      </c>
    </row>
    <row r="2174" spans="1:5">
      <c r="A2174" s="2831">
        <v>747</v>
      </c>
      <c r="B2174" s="2831" t="s">
        <v>4458</v>
      </c>
      <c r="C2174" s="2831">
        <v>291</v>
      </c>
      <c r="D2174" s="2831" t="s">
        <v>4464</v>
      </c>
      <c r="E2174" s="2831" t="s">
        <v>2166</v>
      </c>
    </row>
    <row r="2175" spans="1:5">
      <c r="A2175" s="2831">
        <v>747</v>
      </c>
      <c r="B2175" s="2831" t="s">
        <v>4458</v>
      </c>
      <c r="C2175" s="2831">
        <v>205</v>
      </c>
      <c r="D2175" s="2831" t="s">
        <v>4465</v>
      </c>
      <c r="E2175" s="2831" t="s">
        <v>2174</v>
      </c>
    </row>
    <row r="2176" spans="1:5">
      <c r="A2176" s="2831">
        <v>747</v>
      </c>
      <c r="B2176" s="2831" t="s">
        <v>4458</v>
      </c>
      <c r="C2176" s="2831">
        <v>105</v>
      </c>
      <c r="D2176" s="2831" t="s">
        <v>4466</v>
      </c>
      <c r="E2176" s="2831" t="s">
        <v>2174</v>
      </c>
    </row>
    <row r="2177" spans="1:5">
      <c r="A2177" s="2831">
        <v>747</v>
      </c>
      <c r="B2177" s="2831" t="s">
        <v>4458</v>
      </c>
      <c r="C2177" s="2831">
        <v>108</v>
      </c>
      <c r="D2177" s="2831" t="s">
        <v>3218</v>
      </c>
      <c r="E2177" s="2831" t="s">
        <v>2166</v>
      </c>
    </row>
    <row r="2178" spans="1:5">
      <c r="A2178" s="2831">
        <v>747</v>
      </c>
      <c r="B2178" s="2831" t="s">
        <v>4458</v>
      </c>
      <c r="C2178" s="2831">
        <v>2052</v>
      </c>
      <c r="D2178" s="2831" t="s">
        <v>4467</v>
      </c>
      <c r="E2178" s="2831" t="s">
        <v>2169</v>
      </c>
    </row>
    <row r="2179" spans="1:5">
      <c r="A2179" s="2831">
        <v>747</v>
      </c>
      <c r="B2179" s="2831" t="s">
        <v>4458</v>
      </c>
      <c r="C2179" s="2831">
        <v>195</v>
      </c>
      <c r="D2179" s="2831" t="s">
        <v>3537</v>
      </c>
      <c r="E2179" s="2831" t="s">
        <v>2166</v>
      </c>
    </row>
    <row r="2180" spans="1:5">
      <c r="A2180" s="2831">
        <v>747</v>
      </c>
      <c r="B2180" s="2831" t="s">
        <v>4458</v>
      </c>
      <c r="C2180" s="2831">
        <v>111</v>
      </c>
      <c r="D2180" s="2831" t="s">
        <v>4468</v>
      </c>
      <c r="E2180" s="2831" t="s">
        <v>2169</v>
      </c>
    </row>
    <row r="2181" spans="1:5">
      <c r="A2181" s="2831">
        <v>747</v>
      </c>
      <c r="B2181" s="2831" t="s">
        <v>4458</v>
      </c>
      <c r="C2181" s="2831">
        <v>202</v>
      </c>
      <c r="D2181" s="2831" t="s">
        <v>4469</v>
      </c>
      <c r="E2181" s="2831" t="s">
        <v>2174</v>
      </c>
    </row>
    <row r="2182" spans="1:5">
      <c r="A2182" s="2831">
        <v>747</v>
      </c>
      <c r="B2182" s="2831" t="s">
        <v>4458</v>
      </c>
      <c r="C2182" s="2831">
        <v>102</v>
      </c>
      <c r="D2182" s="2831" t="s">
        <v>4470</v>
      </c>
      <c r="E2182" s="2831" t="s">
        <v>2169</v>
      </c>
    </row>
    <row r="2183" spans="1:5">
      <c r="A2183" s="2831">
        <v>748</v>
      </c>
      <c r="B2183" s="2831" t="s">
        <v>4471</v>
      </c>
      <c r="C2183" s="2831">
        <v>296</v>
      </c>
      <c r="D2183" s="2831" t="s">
        <v>4472</v>
      </c>
      <c r="E2183" s="2831" t="s">
        <v>2174</v>
      </c>
    </row>
    <row r="2184" spans="1:5">
      <c r="A2184" s="2831">
        <v>748</v>
      </c>
      <c r="B2184" s="2831" t="s">
        <v>4471</v>
      </c>
      <c r="C2184" s="2831">
        <v>3050</v>
      </c>
      <c r="D2184" s="2831" t="s">
        <v>4473</v>
      </c>
      <c r="E2184" s="2831" t="s">
        <v>2174</v>
      </c>
    </row>
    <row r="2185" spans="1:5">
      <c r="A2185" s="2831">
        <v>748</v>
      </c>
      <c r="B2185" s="2831" t="s">
        <v>4471</v>
      </c>
      <c r="C2185" s="2831">
        <v>396</v>
      </c>
      <c r="D2185" s="2831" t="s">
        <v>4474</v>
      </c>
      <c r="E2185" s="2831" t="s">
        <v>2174</v>
      </c>
    </row>
    <row r="2186" spans="1:5">
      <c r="A2186" s="2831">
        <v>748</v>
      </c>
      <c r="B2186" s="2831" t="s">
        <v>4471</v>
      </c>
      <c r="C2186" s="2831">
        <v>5050</v>
      </c>
      <c r="D2186" s="2831" t="s">
        <v>4475</v>
      </c>
      <c r="E2186" s="2831" t="s">
        <v>2174</v>
      </c>
    </row>
    <row r="2187" spans="1:5">
      <c r="A2187" s="2831">
        <v>748</v>
      </c>
      <c r="B2187" s="2831" t="s">
        <v>4471</v>
      </c>
      <c r="C2187" s="2831">
        <v>195</v>
      </c>
      <c r="D2187" s="2831" t="s">
        <v>4476</v>
      </c>
      <c r="E2187" s="2831" t="s">
        <v>2174</v>
      </c>
    </row>
    <row r="2188" spans="1:5">
      <c r="A2188" s="2831">
        <v>748</v>
      </c>
      <c r="B2188" s="2831" t="s">
        <v>4471</v>
      </c>
      <c r="C2188" s="2831">
        <v>395</v>
      </c>
      <c r="D2188" s="2831" t="s">
        <v>4477</v>
      </c>
      <c r="E2188" s="2831" t="s">
        <v>2174</v>
      </c>
    </row>
    <row r="2189" spans="1:5">
      <c r="A2189" s="2831">
        <v>748</v>
      </c>
      <c r="B2189" s="2831" t="s">
        <v>4471</v>
      </c>
      <c r="C2189" s="2831">
        <v>3052</v>
      </c>
      <c r="D2189" s="2831" t="s">
        <v>4478</v>
      </c>
      <c r="E2189" s="2831" t="s">
        <v>2174</v>
      </c>
    </row>
    <row r="2190" spans="1:5">
      <c r="A2190" s="2831">
        <v>748</v>
      </c>
      <c r="B2190" s="2831" t="s">
        <v>4471</v>
      </c>
      <c r="C2190" s="2831">
        <v>295</v>
      </c>
      <c r="D2190" s="2831" t="s">
        <v>4479</v>
      </c>
      <c r="E2190" s="2831" t="s">
        <v>2166</v>
      </c>
    </row>
    <row r="2191" spans="1:5">
      <c r="A2191" s="2831">
        <v>748</v>
      </c>
      <c r="B2191" s="2831" t="s">
        <v>4471</v>
      </c>
      <c r="C2191" s="2831">
        <v>196</v>
      </c>
      <c r="D2191" s="2831" t="s">
        <v>4480</v>
      </c>
      <c r="E2191" s="2831" t="s">
        <v>2174</v>
      </c>
    </row>
    <row r="2192" spans="1:5">
      <c r="A2192" s="2831">
        <v>749</v>
      </c>
      <c r="B2192" s="2831" t="s">
        <v>4481</v>
      </c>
      <c r="C2192" s="2831">
        <v>3050</v>
      </c>
      <c r="D2192" s="2831" t="s">
        <v>4482</v>
      </c>
      <c r="E2192" s="2831" t="s">
        <v>2174</v>
      </c>
    </row>
    <row r="2193" spans="1:5">
      <c r="A2193" s="2831">
        <v>749</v>
      </c>
      <c r="B2193" s="2831" t="s">
        <v>4481</v>
      </c>
      <c r="C2193" s="2831">
        <v>205</v>
      </c>
      <c r="D2193" s="2831" t="s">
        <v>4483</v>
      </c>
      <c r="E2193" s="2831" t="s">
        <v>2166</v>
      </c>
    </row>
    <row r="2194" spans="1:5">
      <c r="A2194" s="2831">
        <v>749</v>
      </c>
      <c r="B2194" s="2831" t="s">
        <v>4481</v>
      </c>
      <c r="C2194" s="2831">
        <v>105</v>
      </c>
      <c r="D2194" s="2831" t="s">
        <v>4484</v>
      </c>
      <c r="E2194" s="2831" t="s">
        <v>2169</v>
      </c>
    </row>
    <row r="2195" spans="1:5">
      <c r="A2195" s="2831">
        <v>750</v>
      </c>
      <c r="B2195" s="2831" t="s">
        <v>4485</v>
      </c>
      <c r="C2195" s="2831">
        <v>4050</v>
      </c>
      <c r="D2195" s="2831" t="s">
        <v>4486</v>
      </c>
      <c r="E2195" s="2831" t="s">
        <v>2166</v>
      </c>
    </row>
    <row r="2196" spans="1:5">
      <c r="A2196" s="2831">
        <v>750</v>
      </c>
      <c r="B2196" s="2831" t="s">
        <v>4485</v>
      </c>
      <c r="C2196" s="2831">
        <v>2050</v>
      </c>
      <c r="D2196" s="2831" t="s">
        <v>4487</v>
      </c>
      <c r="E2196" s="2831" t="s">
        <v>2174</v>
      </c>
    </row>
    <row r="2197" spans="1:5">
      <c r="A2197" s="2831">
        <v>750</v>
      </c>
      <c r="B2197" s="2831" t="s">
        <v>4485</v>
      </c>
      <c r="C2197" s="2831">
        <v>199</v>
      </c>
      <c r="D2197" s="2831" t="s">
        <v>4488</v>
      </c>
      <c r="E2197" s="2831" t="s">
        <v>2166</v>
      </c>
    </row>
    <row r="2198" spans="1:5">
      <c r="A2198" s="2831">
        <v>750</v>
      </c>
      <c r="B2198" s="2831" t="s">
        <v>4485</v>
      </c>
      <c r="C2198" s="2831">
        <v>1052</v>
      </c>
      <c r="D2198" s="2831" t="s">
        <v>4489</v>
      </c>
      <c r="E2198" s="2831" t="s">
        <v>2166</v>
      </c>
    </row>
    <row r="2199" spans="1:5">
      <c r="A2199" s="2831">
        <v>751</v>
      </c>
      <c r="B2199" s="2831" t="s">
        <v>4490</v>
      </c>
      <c r="C2199" s="2831">
        <v>294</v>
      </c>
      <c r="D2199" s="2831" t="s">
        <v>4491</v>
      </c>
      <c r="E2199" s="2831" t="s">
        <v>2166</v>
      </c>
    </row>
    <row r="2200" spans="1:5">
      <c r="A2200" s="2831">
        <v>751</v>
      </c>
      <c r="B2200" s="2831" t="s">
        <v>4490</v>
      </c>
      <c r="C2200" s="2831">
        <v>494</v>
      </c>
      <c r="D2200" s="2831" t="s">
        <v>4492</v>
      </c>
      <c r="E2200" s="2831" t="s">
        <v>2174</v>
      </c>
    </row>
    <row r="2201" spans="1:5">
      <c r="A2201" s="2831">
        <v>751</v>
      </c>
      <c r="B2201" s="2831" t="s">
        <v>4490</v>
      </c>
      <c r="C2201" s="2831">
        <v>1050</v>
      </c>
      <c r="D2201" s="2831" t="s">
        <v>4493</v>
      </c>
      <c r="E2201" s="2831" t="s">
        <v>2169</v>
      </c>
    </row>
    <row r="2202" spans="1:5">
      <c r="A2202" s="2831">
        <v>751</v>
      </c>
      <c r="B2202" s="2831" t="s">
        <v>4490</v>
      </c>
      <c r="C2202" s="2831">
        <v>194</v>
      </c>
      <c r="D2202" s="2831" t="s">
        <v>4494</v>
      </c>
      <c r="E2202" s="2831" t="s">
        <v>2166</v>
      </c>
    </row>
    <row r="2203" spans="1:5">
      <c r="A2203" s="2831">
        <v>751</v>
      </c>
      <c r="B2203" s="2831" t="s">
        <v>4490</v>
      </c>
      <c r="C2203" s="2831">
        <v>394</v>
      </c>
      <c r="D2203" s="2831" t="s">
        <v>4495</v>
      </c>
      <c r="E2203" s="2831" t="s">
        <v>2166</v>
      </c>
    </row>
    <row r="2204" spans="1:5">
      <c r="A2204" s="2831">
        <v>751</v>
      </c>
      <c r="B2204" s="2831" t="s">
        <v>4490</v>
      </c>
      <c r="C2204" s="2831">
        <v>3050</v>
      </c>
      <c r="D2204" s="2831" t="s">
        <v>4496</v>
      </c>
      <c r="E2204" s="2831" t="s">
        <v>2174</v>
      </c>
    </row>
    <row r="2205" spans="1:5">
      <c r="A2205" s="2831">
        <v>751</v>
      </c>
      <c r="B2205" s="2831" t="s">
        <v>4490</v>
      </c>
      <c r="C2205" s="2831">
        <v>1052</v>
      </c>
      <c r="D2205" s="2831" t="s">
        <v>4497</v>
      </c>
      <c r="E2205" s="2831" t="s">
        <v>2169</v>
      </c>
    </row>
    <row r="2206" spans="1:5">
      <c r="A2206" s="2831">
        <v>751</v>
      </c>
      <c r="B2206" s="2831" t="s">
        <v>4490</v>
      </c>
      <c r="C2206" s="2831">
        <v>101</v>
      </c>
      <c r="D2206" s="2831" t="s">
        <v>4498</v>
      </c>
      <c r="E2206" s="2831" t="s">
        <v>2166</v>
      </c>
    </row>
    <row r="2207" spans="1:5">
      <c r="A2207" s="2831">
        <v>752</v>
      </c>
      <c r="B2207" s="2831" t="s">
        <v>4499</v>
      </c>
      <c r="C2207" s="2831">
        <v>104</v>
      </c>
      <c r="D2207" s="2831" t="s">
        <v>4500</v>
      </c>
      <c r="E2207" s="2831" t="s">
        <v>2169</v>
      </c>
    </row>
    <row r="2208" spans="1:5">
      <c r="A2208" s="2831">
        <v>752</v>
      </c>
      <c r="B2208" s="2831" t="s">
        <v>4499</v>
      </c>
      <c r="C2208" s="2831">
        <v>108</v>
      </c>
      <c r="D2208" s="2831" t="s">
        <v>4501</v>
      </c>
      <c r="E2208" s="2831" t="s">
        <v>2174</v>
      </c>
    </row>
    <row r="2209" spans="1:5">
      <c r="A2209" s="2831">
        <v>753</v>
      </c>
      <c r="B2209" s="2831" t="s">
        <v>4502</v>
      </c>
      <c r="C2209" s="2831">
        <v>1052</v>
      </c>
      <c r="D2209" s="2831" t="s">
        <v>4503</v>
      </c>
      <c r="E2209" s="2831" t="s">
        <v>2166</v>
      </c>
    </row>
    <row r="2210" spans="1:5">
      <c r="A2210" s="2831">
        <v>753</v>
      </c>
      <c r="B2210" s="2831" t="s">
        <v>4502</v>
      </c>
      <c r="C2210" s="2831">
        <v>3052</v>
      </c>
      <c r="D2210" s="2831" t="s">
        <v>4504</v>
      </c>
      <c r="E2210" s="2831" t="s">
        <v>2174</v>
      </c>
    </row>
    <row r="2211" spans="1:5">
      <c r="A2211" s="2831">
        <v>753</v>
      </c>
      <c r="B2211" s="2831" t="s">
        <v>4502</v>
      </c>
      <c r="C2211" s="2831">
        <v>1053</v>
      </c>
      <c r="D2211" s="2831" t="s">
        <v>4505</v>
      </c>
      <c r="E2211" s="2831" t="s">
        <v>2174</v>
      </c>
    </row>
    <row r="2212" spans="1:5">
      <c r="A2212" s="2831">
        <v>754</v>
      </c>
      <c r="B2212" s="2831" t="s">
        <v>4506</v>
      </c>
      <c r="C2212" s="2831">
        <v>200</v>
      </c>
      <c r="D2212" s="2831" t="s">
        <v>4507</v>
      </c>
      <c r="E2212" s="2831" t="s">
        <v>2174</v>
      </c>
    </row>
    <row r="2213" spans="1:5">
      <c r="A2213" s="2831">
        <v>754</v>
      </c>
      <c r="B2213" s="2831" t="s">
        <v>4506</v>
      </c>
      <c r="C2213" s="2831">
        <v>109</v>
      </c>
      <c r="D2213" s="2831" t="s">
        <v>4508</v>
      </c>
      <c r="E2213" s="2831" t="s">
        <v>2174</v>
      </c>
    </row>
    <row r="2214" spans="1:5">
      <c r="A2214" s="2831">
        <v>754</v>
      </c>
      <c r="B2214" s="2831" t="s">
        <v>4506</v>
      </c>
      <c r="C2214" s="2831">
        <v>104</v>
      </c>
      <c r="D2214" s="2831" t="s">
        <v>4509</v>
      </c>
      <c r="E2214" s="2831" t="s">
        <v>2166</v>
      </c>
    </row>
    <row r="2215" spans="1:5">
      <c r="A2215" s="2831">
        <v>754</v>
      </c>
      <c r="B2215" s="2831" t="s">
        <v>4506</v>
      </c>
      <c r="C2215" s="2831">
        <v>100</v>
      </c>
      <c r="D2215" s="2831" t="s">
        <v>4510</v>
      </c>
      <c r="E2215" s="2831" t="s">
        <v>2169</v>
      </c>
    </row>
    <row r="2216" spans="1:5">
      <c r="A2216" s="2831">
        <v>754</v>
      </c>
      <c r="B2216" s="2831" t="s">
        <v>4506</v>
      </c>
      <c r="C2216" s="2831">
        <v>105</v>
      </c>
      <c r="D2216" s="2831" t="s">
        <v>4511</v>
      </c>
      <c r="E2216" s="2831" t="s">
        <v>2166</v>
      </c>
    </row>
    <row r="2217" spans="1:5">
      <c r="A2217" s="2831">
        <v>754</v>
      </c>
      <c r="B2217" s="2831" t="s">
        <v>4506</v>
      </c>
      <c r="C2217" s="2831">
        <v>174</v>
      </c>
      <c r="D2217" s="2831" t="s">
        <v>4512</v>
      </c>
      <c r="E2217" s="2831" t="s">
        <v>2169</v>
      </c>
    </row>
    <row r="2218" spans="1:5">
      <c r="A2218" s="2831">
        <v>755</v>
      </c>
      <c r="B2218" s="2831" t="s">
        <v>4513</v>
      </c>
      <c r="C2218" s="2831">
        <v>1050</v>
      </c>
      <c r="D2218" s="2831" t="s">
        <v>4514</v>
      </c>
      <c r="E2218" s="2831" t="s">
        <v>2169</v>
      </c>
    </row>
    <row r="2219" spans="1:5">
      <c r="A2219" s="2831">
        <v>755</v>
      </c>
      <c r="B2219" s="2831" t="s">
        <v>4513</v>
      </c>
      <c r="C2219" s="2831">
        <v>206</v>
      </c>
      <c r="D2219" s="2831" t="s">
        <v>4515</v>
      </c>
      <c r="E2219" s="2831" t="s">
        <v>2174</v>
      </c>
    </row>
    <row r="2220" spans="1:5">
      <c r="A2220" s="2831">
        <v>755</v>
      </c>
      <c r="B2220" s="2831" t="s">
        <v>4513</v>
      </c>
      <c r="C2220" s="2831">
        <v>211</v>
      </c>
      <c r="D2220" s="2831" t="s">
        <v>4516</v>
      </c>
      <c r="E2220" s="2831" t="s">
        <v>2174</v>
      </c>
    </row>
    <row r="2221" spans="1:5">
      <c r="A2221" s="2831">
        <v>755</v>
      </c>
      <c r="B2221" s="2831" t="s">
        <v>4513</v>
      </c>
      <c r="C2221" s="2831">
        <v>112</v>
      </c>
      <c r="D2221" s="2831" t="s">
        <v>4517</v>
      </c>
      <c r="E2221" s="2831" t="s">
        <v>2169</v>
      </c>
    </row>
    <row r="2222" spans="1:5">
      <c r="A2222" s="2831">
        <v>755</v>
      </c>
      <c r="B2222" s="2831" t="s">
        <v>4513</v>
      </c>
      <c r="C2222" s="2831">
        <v>2050</v>
      </c>
      <c r="D2222" s="2831" t="s">
        <v>4518</v>
      </c>
      <c r="E2222" s="2831" t="s">
        <v>2166</v>
      </c>
    </row>
    <row r="2223" spans="1:5">
      <c r="A2223" s="2831">
        <v>755</v>
      </c>
      <c r="B2223" s="2831" t="s">
        <v>4513</v>
      </c>
      <c r="C2223" s="2831">
        <v>3050</v>
      </c>
      <c r="D2223" s="2831" t="s">
        <v>4519</v>
      </c>
      <c r="E2223" s="2831" t="s">
        <v>2169</v>
      </c>
    </row>
    <row r="2224" spans="1:5">
      <c r="A2224" s="2831">
        <v>755</v>
      </c>
      <c r="B2224" s="2831" t="s">
        <v>4513</v>
      </c>
      <c r="C2224" s="2831">
        <v>4050</v>
      </c>
      <c r="D2224" s="2831" t="s">
        <v>4520</v>
      </c>
      <c r="E2224" s="2831" t="s">
        <v>2174</v>
      </c>
    </row>
    <row r="2225" spans="1:5">
      <c r="A2225" s="2831">
        <v>755</v>
      </c>
      <c r="B2225" s="2831" t="s">
        <v>4513</v>
      </c>
      <c r="C2225" s="2831">
        <v>475</v>
      </c>
      <c r="D2225" s="2831" t="s">
        <v>4521</v>
      </c>
      <c r="E2225" s="2831" t="s">
        <v>2166</v>
      </c>
    </row>
    <row r="2226" spans="1:5">
      <c r="A2226" s="2831">
        <v>755</v>
      </c>
      <c r="B2226" s="2831" t="s">
        <v>4513</v>
      </c>
      <c r="C2226" s="2831">
        <v>1052</v>
      </c>
      <c r="D2226" s="2831" t="s">
        <v>2790</v>
      </c>
      <c r="E2226" s="2831" t="s">
        <v>2166</v>
      </c>
    </row>
    <row r="2227" spans="1:5">
      <c r="A2227" s="2831">
        <v>755</v>
      </c>
      <c r="B2227" s="2831" t="s">
        <v>4513</v>
      </c>
      <c r="C2227" s="2831">
        <v>199</v>
      </c>
      <c r="D2227" s="2831" t="s">
        <v>3209</v>
      </c>
      <c r="E2227" s="2831" t="s">
        <v>2166</v>
      </c>
    </row>
    <row r="2228" spans="1:5">
      <c r="A2228" s="2831">
        <v>755</v>
      </c>
      <c r="B2228" s="2831" t="s">
        <v>4513</v>
      </c>
      <c r="C2228" s="2831">
        <v>106</v>
      </c>
      <c r="D2228" s="2831" t="s">
        <v>4522</v>
      </c>
      <c r="E2228" s="2831" t="s">
        <v>2174</v>
      </c>
    </row>
    <row r="2229" spans="1:5">
      <c r="A2229" s="2831">
        <v>755</v>
      </c>
      <c r="B2229" s="2831" t="s">
        <v>4513</v>
      </c>
      <c r="C2229" s="2831">
        <v>575</v>
      </c>
      <c r="D2229" s="2831" t="s">
        <v>4523</v>
      </c>
      <c r="E2229" s="2831" t="s">
        <v>2166</v>
      </c>
    </row>
    <row r="2230" spans="1:5">
      <c r="A2230" s="2831">
        <v>755</v>
      </c>
      <c r="B2230" s="2831" t="s">
        <v>4513</v>
      </c>
      <c r="C2230" s="2831">
        <v>175</v>
      </c>
      <c r="D2230" s="2831" t="s">
        <v>4524</v>
      </c>
      <c r="E2230" s="2831" t="s">
        <v>2169</v>
      </c>
    </row>
    <row r="2231" spans="1:5">
      <c r="A2231" s="2831">
        <v>755</v>
      </c>
      <c r="B2231" s="2831" t="s">
        <v>4513</v>
      </c>
      <c r="C2231" s="2831">
        <v>212</v>
      </c>
      <c r="D2231" s="2831" t="s">
        <v>3510</v>
      </c>
      <c r="E2231" s="2831" t="s">
        <v>2169</v>
      </c>
    </row>
    <row r="2232" spans="1:5">
      <c r="A2232" s="2831">
        <v>755</v>
      </c>
      <c r="B2232" s="2831" t="s">
        <v>4513</v>
      </c>
      <c r="C2232" s="2831">
        <v>2052</v>
      </c>
      <c r="D2232" s="2831" t="s">
        <v>3647</v>
      </c>
      <c r="E2232" s="2831" t="s">
        <v>2166</v>
      </c>
    </row>
    <row r="2233" spans="1:5">
      <c r="A2233" s="2831">
        <v>755</v>
      </c>
      <c r="B2233" s="2831" t="s">
        <v>4513</v>
      </c>
      <c r="C2233" s="2831">
        <v>275</v>
      </c>
      <c r="D2233" s="2831" t="s">
        <v>4525</v>
      </c>
      <c r="E2233" s="2831" t="s">
        <v>2166</v>
      </c>
    </row>
    <row r="2234" spans="1:5">
      <c r="A2234" s="2831">
        <v>755</v>
      </c>
      <c r="B2234" s="2831" t="s">
        <v>4513</v>
      </c>
      <c r="C2234" s="2831">
        <v>3052</v>
      </c>
      <c r="D2234" s="2831" t="s">
        <v>4526</v>
      </c>
      <c r="E2234" s="2831" t="s">
        <v>2174</v>
      </c>
    </row>
    <row r="2235" spans="1:5">
      <c r="A2235" s="2831">
        <v>755</v>
      </c>
      <c r="B2235" s="2831" t="s">
        <v>4513</v>
      </c>
      <c r="C2235" s="2831">
        <v>4052</v>
      </c>
      <c r="D2235" s="2831" t="s">
        <v>4527</v>
      </c>
      <c r="E2235" s="2831" t="s">
        <v>2174</v>
      </c>
    </row>
    <row r="2236" spans="1:5">
      <c r="A2236" s="2831">
        <v>755</v>
      </c>
      <c r="B2236" s="2831" t="s">
        <v>4513</v>
      </c>
      <c r="C2236" s="2831">
        <v>675</v>
      </c>
      <c r="D2236" s="2831" t="s">
        <v>4528</v>
      </c>
      <c r="E2236" s="2831" t="s">
        <v>2169</v>
      </c>
    </row>
    <row r="2237" spans="1:5">
      <c r="A2237" s="2831">
        <v>755</v>
      </c>
      <c r="B2237" s="2831" t="s">
        <v>4513</v>
      </c>
      <c r="C2237" s="2831">
        <v>1054</v>
      </c>
      <c r="D2237" s="2831" t="s">
        <v>4529</v>
      </c>
      <c r="E2237" s="2831" t="s">
        <v>2166</v>
      </c>
    </row>
    <row r="2238" spans="1:5">
      <c r="A2238" s="2831">
        <v>755</v>
      </c>
      <c r="B2238" s="2831" t="s">
        <v>4513</v>
      </c>
      <c r="C2238" s="2831">
        <v>2054</v>
      </c>
      <c r="D2238" s="2831" t="s">
        <v>2796</v>
      </c>
      <c r="E2238" s="2831" t="s">
        <v>2169</v>
      </c>
    </row>
    <row r="2239" spans="1:5">
      <c r="A2239" s="2831">
        <v>755</v>
      </c>
      <c r="B2239" s="2831" t="s">
        <v>4513</v>
      </c>
      <c r="C2239" s="2831">
        <v>775</v>
      </c>
      <c r="D2239" s="2831" t="s">
        <v>2298</v>
      </c>
      <c r="E2239" s="2831" t="s">
        <v>2174</v>
      </c>
    </row>
    <row r="2240" spans="1:5">
      <c r="A2240" s="2831">
        <v>756</v>
      </c>
      <c r="B2240" s="2831" t="s">
        <v>4530</v>
      </c>
      <c r="C2240" s="2831">
        <v>195</v>
      </c>
      <c r="D2240" s="2831" t="s">
        <v>4531</v>
      </c>
      <c r="E2240" s="2831" t="s">
        <v>2174</v>
      </c>
    </row>
    <row r="2241" spans="1:5">
      <c r="A2241" s="2831">
        <v>756</v>
      </c>
      <c r="B2241" s="2831" t="s">
        <v>4530</v>
      </c>
      <c r="C2241" s="2831">
        <v>201</v>
      </c>
      <c r="D2241" s="2831" t="s">
        <v>4532</v>
      </c>
      <c r="E2241" s="2831" t="s">
        <v>2174</v>
      </c>
    </row>
    <row r="2242" spans="1:5">
      <c r="A2242" s="2831">
        <v>756</v>
      </c>
      <c r="B2242" s="2831" t="s">
        <v>4530</v>
      </c>
      <c r="C2242" s="2831">
        <v>101</v>
      </c>
      <c r="D2242" s="2831" t="s">
        <v>4533</v>
      </c>
      <c r="E2242" s="2831" t="s">
        <v>2169</v>
      </c>
    </row>
    <row r="2243" spans="1:5">
      <c r="A2243" s="2831">
        <v>757</v>
      </c>
      <c r="B2243" s="2831" t="s">
        <v>4534</v>
      </c>
      <c r="C2243" s="2831">
        <v>110</v>
      </c>
      <c r="D2243" s="2831" t="s">
        <v>4535</v>
      </c>
      <c r="E2243" s="2831" t="s">
        <v>2166</v>
      </c>
    </row>
    <row r="2244" spans="1:5">
      <c r="A2244" s="2831">
        <v>757</v>
      </c>
      <c r="B2244" s="2831" t="s">
        <v>4534</v>
      </c>
      <c r="C2244" s="2831">
        <v>205</v>
      </c>
      <c r="D2244" s="2831" t="s">
        <v>4536</v>
      </c>
      <c r="E2244" s="2831" t="s">
        <v>2174</v>
      </c>
    </row>
    <row r="2245" spans="1:5">
      <c r="A2245" s="2831">
        <v>757</v>
      </c>
      <c r="B2245" s="2831" t="s">
        <v>4534</v>
      </c>
      <c r="C2245" s="2831">
        <v>210</v>
      </c>
      <c r="D2245" s="2831" t="s">
        <v>4537</v>
      </c>
      <c r="E2245" s="2831" t="s">
        <v>2166</v>
      </c>
    </row>
    <row r="2246" spans="1:5">
      <c r="A2246" s="2831">
        <v>757</v>
      </c>
      <c r="B2246" s="2831" t="s">
        <v>4534</v>
      </c>
      <c r="C2246" s="2831">
        <v>105</v>
      </c>
      <c r="D2246" s="2831" t="s">
        <v>4538</v>
      </c>
      <c r="E2246" s="2831" t="s">
        <v>2174</v>
      </c>
    </row>
    <row r="2247" spans="1:5">
      <c r="A2247" s="2831">
        <v>758</v>
      </c>
      <c r="B2247" s="2831" t="s">
        <v>4539</v>
      </c>
      <c r="C2247" s="2831">
        <v>175</v>
      </c>
      <c r="D2247" s="2831" t="s">
        <v>4540</v>
      </c>
      <c r="E2247" s="2831" t="s">
        <v>2169</v>
      </c>
    </row>
    <row r="2248" spans="1:5">
      <c r="A2248" s="2831">
        <v>758</v>
      </c>
      <c r="B2248" s="2831" t="s">
        <v>4539</v>
      </c>
      <c r="C2248" s="2831">
        <v>3050</v>
      </c>
      <c r="D2248" s="2831" t="s">
        <v>4541</v>
      </c>
      <c r="E2248" s="2831" t="s">
        <v>2174</v>
      </c>
    </row>
    <row r="2249" spans="1:5">
      <c r="A2249" s="2831">
        <v>758</v>
      </c>
      <c r="B2249" s="2831" t="s">
        <v>4539</v>
      </c>
      <c r="C2249" s="2831">
        <v>275</v>
      </c>
      <c r="D2249" s="2831" t="s">
        <v>4542</v>
      </c>
      <c r="E2249" s="2831" t="s">
        <v>2166</v>
      </c>
    </row>
    <row r="2250" spans="1:5">
      <c r="A2250" s="2831">
        <v>758</v>
      </c>
      <c r="B2250" s="2831" t="s">
        <v>4539</v>
      </c>
      <c r="C2250" s="2831">
        <v>1050</v>
      </c>
      <c r="D2250" s="2831" t="s">
        <v>4543</v>
      </c>
      <c r="E2250" s="2831" t="s">
        <v>2169</v>
      </c>
    </row>
    <row r="2251" spans="1:5">
      <c r="A2251" s="2831">
        <v>759</v>
      </c>
      <c r="B2251" s="2831" t="s">
        <v>4544</v>
      </c>
      <c r="C2251" s="2831">
        <v>111</v>
      </c>
      <c r="D2251" s="2831" t="s">
        <v>4545</v>
      </c>
      <c r="E2251" s="2831" t="s">
        <v>2169</v>
      </c>
    </row>
    <row r="2252" spans="1:5">
      <c r="A2252" s="2831">
        <v>759</v>
      </c>
      <c r="B2252" s="2831" t="s">
        <v>4544</v>
      </c>
      <c r="C2252" s="2831">
        <v>176</v>
      </c>
      <c r="D2252" s="2831" t="s">
        <v>4546</v>
      </c>
      <c r="E2252" s="2831" t="s">
        <v>2166</v>
      </c>
    </row>
    <row r="2253" spans="1:5">
      <c r="A2253" s="2831">
        <v>759</v>
      </c>
      <c r="B2253" s="2831" t="s">
        <v>4544</v>
      </c>
      <c r="C2253" s="2831">
        <v>193</v>
      </c>
      <c r="D2253" s="2831" t="s">
        <v>4547</v>
      </c>
      <c r="E2253" s="2831" t="s">
        <v>2166</v>
      </c>
    </row>
    <row r="2254" spans="1:5">
      <c r="A2254" s="2831">
        <v>759</v>
      </c>
      <c r="B2254" s="2831" t="s">
        <v>4544</v>
      </c>
      <c r="C2254" s="2831">
        <v>196</v>
      </c>
      <c r="D2254" s="2831" t="s">
        <v>4548</v>
      </c>
      <c r="E2254" s="2831" t="s">
        <v>2169</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workbookViewId="0"/>
  </sheetViews>
  <sheetFormatPr defaultColWidth="8.85546875" defaultRowHeight="15.75"/>
  <cols>
    <col min="1" max="1" width="2.140625" style="592" customWidth="1"/>
    <col min="2" max="13" width="7.85546875" style="592" customWidth="1"/>
    <col min="14" max="15" width="5.85546875" style="592" customWidth="1"/>
    <col min="16" max="16384" width="8.85546875" style="592"/>
  </cols>
  <sheetData>
    <row r="1" spans="1:26" ht="18">
      <c r="N1" s="593" t="s">
        <v>4549</v>
      </c>
      <c r="O1" s="593"/>
      <c r="P1" s="593"/>
      <c r="Q1" s="593"/>
      <c r="R1" s="593"/>
      <c r="S1" s="593"/>
      <c r="T1" s="593"/>
      <c r="U1" s="593"/>
      <c r="V1" s="593"/>
      <c r="W1" s="593"/>
      <c r="X1" s="593"/>
      <c r="Y1" s="593"/>
      <c r="Z1" s="593"/>
    </row>
    <row r="2" spans="1:26">
      <c r="N2" s="594" t="s">
        <v>4550</v>
      </c>
      <c r="O2" s="594"/>
      <c r="P2" s="594"/>
      <c r="Q2" s="594"/>
      <c r="R2" s="594"/>
      <c r="S2" s="594"/>
      <c r="T2" s="594"/>
      <c r="U2" s="594"/>
      <c r="V2" s="594"/>
      <c r="W2" s="594"/>
      <c r="X2" s="594"/>
      <c r="Y2" s="594"/>
      <c r="Z2" s="594"/>
    </row>
    <row r="3" spans="1:26">
      <c r="N3" s="595" t="s">
        <v>4551</v>
      </c>
      <c r="O3" s="595"/>
      <c r="P3" s="595"/>
      <c r="Q3" s="595"/>
      <c r="R3" s="595"/>
      <c r="S3" s="595"/>
      <c r="T3" s="595"/>
      <c r="U3" s="595"/>
      <c r="V3" s="595"/>
      <c r="W3" s="595"/>
      <c r="X3" s="595"/>
      <c r="Y3" s="595"/>
      <c r="Z3" s="595"/>
    </row>
    <row r="4" spans="1:26" ht="16.5">
      <c r="B4" s="596"/>
      <c r="C4" s="596"/>
      <c r="D4" s="596"/>
      <c r="E4" s="596"/>
      <c r="F4" s="596"/>
      <c r="G4" s="596"/>
      <c r="H4" s="596"/>
      <c r="I4" s="596"/>
      <c r="J4" s="596"/>
      <c r="K4" s="596"/>
      <c r="L4" s="596"/>
      <c r="M4" s="596"/>
      <c r="N4" s="597" t="s">
        <v>4552</v>
      </c>
    </row>
    <row r="5" spans="1:26" ht="59.25" customHeight="1">
      <c r="A5" s="4218" t="s">
        <v>4553</v>
      </c>
      <c r="B5" s="4218"/>
      <c r="C5" s="4218"/>
      <c r="D5" s="4218"/>
      <c r="E5" s="4218"/>
      <c r="F5" s="4218"/>
      <c r="G5" s="4218"/>
      <c r="H5" s="4218"/>
      <c r="I5" s="4218"/>
      <c r="J5" s="4218"/>
      <c r="K5" s="4218"/>
      <c r="L5" s="4218"/>
      <c r="M5" s="4218"/>
    </row>
    <row r="6" spans="1:26" ht="11.85" customHeight="1">
      <c r="A6" s="596"/>
      <c r="B6" s="596"/>
      <c r="C6" s="596"/>
      <c r="D6" s="596"/>
      <c r="E6" s="596"/>
      <c r="F6" s="596"/>
      <c r="G6" s="596"/>
      <c r="H6" s="596"/>
      <c r="I6" s="596"/>
      <c r="J6" s="596"/>
      <c r="K6" s="596"/>
      <c r="L6" s="596"/>
      <c r="M6" s="596"/>
    </row>
    <row r="7" spans="1:26" ht="16.5">
      <c r="A7" s="596" t="s">
        <v>4554</v>
      </c>
      <c r="B7" s="596"/>
      <c r="C7" s="596"/>
      <c r="D7" s="596"/>
      <c r="E7" s="596"/>
      <c r="F7" s="596"/>
      <c r="G7" s="596"/>
      <c r="H7" s="596"/>
      <c r="I7" s="596"/>
      <c r="J7" s="596"/>
      <c r="K7" s="596"/>
      <c r="L7" s="596"/>
      <c r="M7" s="596"/>
    </row>
    <row r="8" spans="1:26" ht="11.85" customHeight="1">
      <c r="A8" s="596"/>
      <c r="B8" s="596"/>
      <c r="C8" s="596"/>
      <c r="D8" s="596"/>
      <c r="E8" s="596"/>
      <c r="F8" s="596"/>
      <c r="G8" s="596"/>
      <c r="H8" s="596"/>
      <c r="I8" s="596"/>
      <c r="J8" s="596"/>
      <c r="K8" s="596"/>
      <c r="L8" s="596"/>
      <c r="M8" s="596"/>
    </row>
    <row r="9" spans="1:26" ht="16.5">
      <c r="A9" s="4219" t="s">
        <v>4555</v>
      </c>
      <c r="B9" s="4219"/>
      <c r="C9" s="4219"/>
      <c r="D9" s="4219"/>
      <c r="E9" s="4219"/>
      <c r="F9" s="4219"/>
      <c r="G9" s="4219"/>
      <c r="H9" s="4219"/>
      <c r="I9" s="4219"/>
      <c r="J9" s="4219"/>
      <c r="K9" s="4219"/>
      <c r="L9" s="4219"/>
      <c r="M9" s="4219"/>
    </row>
    <row r="10" spans="1:26" ht="6.75" customHeight="1">
      <c r="A10" s="4219"/>
      <c r="B10" s="4219"/>
      <c r="C10" s="4219"/>
      <c r="D10" s="4219"/>
      <c r="E10" s="4219"/>
      <c r="F10" s="4219"/>
      <c r="G10" s="4219"/>
      <c r="H10" s="4219"/>
      <c r="I10" s="4219"/>
      <c r="J10" s="4219"/>
      <c r="K10" s="4219"/>
      <c r="L10" s="4219"/>
      <c r="M10" s="4219"/>
    </row>
    <row r="11" spans="1:26" ht="44.25" customHeight="1">
      <c r="A11" s="4220" t="s">
        <v>4556</v>
      </c>
      <c r="B11" s="4220"/>
      <c r="C11" s="4220"/>
      <c r="D11" s="4220"/>
      <c r="E11" s="4220"/>
      <c r="F11" s="4220"/>
      <c r="G11" s="4220"/>
      <c r="H11" s="4220"/>
      <c r="I11" s="4220"/>
      <c r="J11" s="4220"/>
      <c r="K11" s="4220"/>
      <c r="L11" s="4220"/>
      <c r="M11" s="4220"/>
    </row>
    <row r="12" spans="1:26" ht="3" customHeight="1">
      <c r="A12" s="4219"/>
      <c r="B12" s="4219"/>
      <c r="C12" s="4219"/>
      <c r="D12" s="4219"/>
      <c r="E12" s="4219"/>
      <c r="F12" s="4219"/>
      <c r="G12" s="4219"/>
      <c r="H12" s="4219"/>
      <c r="I12" s="4219"/>
      <c r="J12" s="4219"/>
      <c r="K12" s="4219"/>
      <c r="L12" s="4219"/>
      <c r="M12" s="4219"/>
    </row>
    <row r="13" spans="1:26" ht="101.25" customHeight="1">
      <c r="A13" s="598" t="s">
        <v>1510</v>
      </c>
      <c r="B13" s="4221" t="s">
        <v>4557</v>
      </c>
      <c r="C13" s="4221"/>
      <c r="D13" s="4221"/>
      <c r="E13" s="4221"/>
      <c r="F13" s="4221"/>
      <c r="G13" s="4221"/>
      <c r="H13" s="4221"/>
      <c r="I13" s="4221"/>
      <c r="J13" s="4221"/>
      <c r="K13" s="4221"/>
      <c r="L13" s="4221"/>
      <c r="M13" s="4221"/>
      <c r="U13" s="592" t="s">
        <v>4558</v>
      </c>
    </row>
    <row r="14" spans="1:26" ht="47.25" customHeight="1">
      <c r="A14" s="598" t="s">
        <v>1513</v>
      </c>
      <c r="B14" s="4221" t="s">
        <v>4559</v>
      </c>
      <c r="C14" s="4221"/>
      <c r="D14" s="4221"/>
      <c r="E14" s="4221"/>
      <c r="F14" s="4221"/>
      <c r="G14" s="4221"/>
      <c r="H14" s="4221"/>
      <c r="I14" s="4221"/>
      <c r="J14" s="4221"/>
      <c r="K14" s="4221"/>
      <c r="L14" s="4221"/>
      <c r="M14" s="4221"/>
    </row>
    <row r="15" spans="1:26" ht="117" customHeight="1">
      <c r="A15" s="598" t="s">
        <v>1514</v>
      </c>
      <c r="B15" s="4221" t="s">
        <v>4560</v>
      </c>
      <c r="C15" s="4221"/>
      <c r="D15" s="4221"/>
      <c r="E15" s="4221"/>
      <c r="F15" s="4221"/>
      <c r="G15" s="4221"/>
      <c r="H15" s="4221"/>
      <c r="I15" s="4221"/>
      <c r="J15" s="4221"/>
      <c r="K15" s="4221"/>
      <c r="L15" s="4221"/>
      <c r="M15" s="4221"/>
    </row>
    <row r="16" spans="1:26" ht="147" customHeight="1">
      <c r="A16" s="598" t="s">
        <v>1515</v>
      </c>
      <c r="B16" s="4221" t="s">
        <v>4561</v>
      </c>
      <c r="C16" s="4221"/>
      <c r="D16" s="4221"/>
      <c r="E16" s="4221"/>
      <c r="F16" s="4221"/>
      <c r="G16" s="4221"/>
      <c r="H16" s="4221"/>
      <c r="I16" s="4221"/>
      <c r="J16" s="4221"/>
      <c r="K16" s="4221"/>
      <c r="L16" s="4221"/>
      <c r="M16" s="4221"/>
    </row>
    <row r="17" spans="1:13" ht="48.75" customHeight="1">
      <c r="A17" s="598" t="s">
        <v>4562</v>
      </c>
      <c r="B17" s="4221" t="s">
        <v>4563</v>
      </c>
      <c r="C17" s="4221"/>
      <c r="D17" s="4221"/>
      <c r="E17" s="4221"/>
      <c r="F17" s="4221"/>
      <c r="G17" s="4221"/>
      <c r="H17" s="4221"/>
      <c r="I17" s="4221"/>
      <c r="J17" s="4221"/>
      <c r="K17" s="4221"/>
      <c r="L17" s="4221"/>
      <c r="M17" s="4221"/>
    </row>
    <row r="18" spans="1:13" ht="165" customHeight="1">
      <c r="A18" s="598" t="s">
        <v>4564</v>
      </c>
      <c r="B18" s="4221" t="s">
        <v>4565</v>
      </c>
      <c r="C18" s="4221"/>
      <c r="D18" s="4221"/>
      <c r="E18" s="4221"/>
      <c r="F18" s="4221"/>
      <c r="G18" s="4221"/>
      <c r="H18" s="4221"/>
      <c r="I18" s="4221"/>
      <c r="J18" s="4221"/>
      <c r="K18" s="4221"/>
      <c r="L18" s="4221"/>
      <c r="M18" s="4221"/>
    </row>
    <row r="19" spans="1:13" ht="48.75" customHeight="1">
      <c r="A19" s="598" t="s">
        <v>4566</v>
      </c>
      <c r="B19" s="4217" t="s">
        <v>4567</v>
      </c>
      <c r="C19" s="4217"/>
      <c r="D19" s="4217"/>
      <c r="E19" s="4217"/>
      <c r="F19" s="4217"/>
      <c r="G19" s="4217"/>
      <c r="H19" s="4217"/>
      <c r="I19" s="4217"/>
      <c r="J19" s="4217"/>
      <c r="K19" s="4217"/>
      <c r="L19" s="4217"/>
      <c r="M19" s="4217"/>
    </row>
    <row r="20" spans="1:13" ht="50.25" customHeight="1">
      <c r="A20" s="598" t="s">
        <v>4568</v>
      </c>
      <c r="B20" s="4221" t="s">
        <v>4569</v>
      </c>
      <c r="C20" s="4221"/>
      <c r="D20" s="4221"/>
      <c r="E20" s="4221"/>
      <c r="F20" s="4221"/>
      <c r="G20" s="4221"/>
      <c r="H20" s="4221"/>
      <c r="I20" s="4221"/>
      <c r="J20" s="4221"/>
      <c r="K20" s="4221"/>
      <c r="L20" s="4221"/>
      <c r="M20" s="4221"/>
    </row>
    <row r="21" spans="1:13" ht="31.5" customHeight="1">
      <c r="A21" s="598" t="s">
        <v>4570</v>
      </c>
      <c r="B21" s="4221" t="s">
        <v>4571</v>
      </c>
      <c r="C21" s="4221"/>
      <c r="D21" s="4221"/>
      <c r="E21" s="4221"/>
      <c r="F21" s="4221"/>
      <c r="G21" s="4221"/>
      <c r="H21" s="4221"/>
      <c r="I21" s="4221"/>
      <c r="J21" s="4221"/>
      <c r="K21" s="4221"/>
      <c r="L21" s="4221"/>
      <c r="M21" s="4221"/>
    </row>
    <row r="22" spans="1:13" ht="1.5" customHeight="1">
      <c r="A22" s="4219"/>
      <c r="B22" s="4219"/>
      <c r="C22" s="4219"/>
      <c r="D22" s="4219"/>
      <c r="E22" s="4219"/>
      <c r="F22" s="4219"/>
      <c r="G22" s="4219"/>
      <c r="H22" s="4219"/>
      <c r="I22" s="4219"/>
      <c r="J22" s="4219"/>
      <c r="K22" s="4219"/>
      <c r="L22" s="4219"/>
      <c r="M22" s="4219"/>
    </row>
    <row r="23" spans="1:13" ht="3" customHeight="1">
      <c r="A23" s="4219"/>
      <c r="B23" s="4219"/>
      <c r="C23" s="4219"/>
      <c r="D23" s="4219"/>
      <c r="E23" s="4219"/>
      <c r="F23" s="4219"/>
      <c r="G23" s="4219"/>
      <c r="H23" s="4219"/>
      <c r="I23" s="4219"/>
      <c r="J23" s="4219"/>
      <c r="K23" s="4219"/>
      <c r="L23" s="4219"/>
      <c r="M23" s="4219"/>
    </row>
    <row r="24" spans="1:13" ht="13.5" customHeight="1">
      <c r="A24" s="4219" t="s">
        <v>4572</v>
      </c>
      <c r="B24" s="4219"/>
      <c r="C24" s="4219"/>
      <c r="D24" s="4219"/>
      <c r="E24" s="4219"/>
      <c r="F24" s="4219"/>
      <c r="G24" s="4219"/>
      <c r="H24" s="4219"/>
      <c r="I24" s="4219"/>
      <c r="J24" s="4219"/>
      <c r="K24" s="4219"/>
      <c r="L24" s="4219"/>
      <c r="M24" s="4219"/>
    </row>
    <row r="25" spans="1:13" ht="32.25" customHeight="1">
      <c r="A25" s="598" t="s">
        <v>4573</v>
      </c>
      <c r="B25" s="4221" t="s">
        <v>4574</v>
      </c>
      <c r="C25" s="4221"/>
      <c r="D25" s="4221"/>
      <c r="E25" s="4221"/>
      <c r="F25" s="4221"/>
      <c r="G25" s="4221"/>
      <c r="H25" s="4221"/>
      <c r="I25" s="4221"/>
      <c r="J25" s="4221"/>
      <c r="K25" s="4221"/>
      <c r="L25" s="4221"/>
      <c r="M25" s="4221"/>
    </row>
    <row r="26" spans="1:13" ht="31.5" customHeight="1">
      <c r="A26" s="598" t="s">
        <v>4573</v>
      </c>
      <c r="B26" s="4221" t="s">
        <v>4575</v>
      </c>
      <c r="C26" s="4221"/>
      <c r="D26" s="4221"/>
      <c r="E26" s="4221"/>
      <c r="F26" s="4221"/>
      <c r="G26" s="4221"/>
      <c r="H26" s="4221"/>
      <c r="I26" s="4221"/>
      <c r="J26" s="4221"/>
      <c r="K26" s="4221"/>
      <c r="L26" s="4221"/>
      <c r="M26" s="4221"/>
    </row>
    <row r="27" spans="1:13" ht="78.75" customHeight="1">
      <c r="A27" s="598" t="s">
        <v>4573</v>
      </c>
      <c r="B27" s="4221" t="s">
        <v>4576</v>
      </c>
      <c r="C27" s="4221"/>
      <c r="D27" s="4221"/>
      <c r="E27" s="4221"/>
      <c r="F27" s="4221"/>
      <c r="G27" s="4221"/>
      <c r="H27" s="4221"/>
      <c r="I27" s="4221"/>
      <c r="J27" s="4221"/>
      <c r="K27" s="4221"/>
      <c r="L27" s="4221"/>
      <c r="M27" s="4221"/>
    </row>
    <row r="28" spans="1:13" ht="7.5" customHeight="1">
      <c r="A28" s="4219"/>
      <c r="B28" s="4219"/>
      <c r="C28" s="4219"/>
      <c r="D28" s="4219"/>
      <c r="E28" s="4219"/>
      <c r="F28" s="4219"/>
      <c r="G28" s="4219"/>
      <c r="H28" s="4219"/>
      <c r="I28" s="4219"/>
      <c r="J28" s="4219"/>
      <c r="K28" s="4219"/>
      <c r="L28" s="4219"/>
      <c r="M28" s="4219"/>
    </row>
    <row r="29" spans="1:13" ht="43.5" customHeight="1">
      <c r="A29" s="4221" t="s">
        <v>4577</v>
      </c>
      <c r="B29" s="4221"/>
      <c r="C29" s="4221"/>
      <c r="D29" s="4221"/>
      <c r="E29" s="4221"/>
      <c r="F29" s="4221"/>
      <c r="G29" s="4221"/>
      <c r="H29" s="4221"/>
      <c r="I29" s="4221"/>
      <c r="J29" s="4221"/>
      <c r="K29" s="4221"/>
      <c r="L29" s="4221"/>
      <c r="M29" s="4221"/>
    </row>
    <row r="30" spans="1:13" ht="3" customHeight="1">
      <c r="A30" s="4219"/>
      <c r="B30" s="4219"/>
      <c r="C30" s="4219"/>
      <c r="D30" s="4219"/>
      <c r="E30" s="4219"/>
      <c r="F30" s="4219"/>
      <c r="G30" s="4219"/>
      <c r="H30" s="4219"/>
      <c r="I30" s="4219"/>
      <c r="J30" s="4219"/>
      <c r="K30" s="4219"/>
      <c r="L30" s="4219"/>
      <c r="M30" s="4219"/>
    </row>
    <row r="31" spans="1:13" ht="32.25" customHeight="1">
      <c r="A31" s="4221" t="s">
        <v>4578</v>
      </c>
      <c r="B31" s="4221"/>
      <c r="C31" s="4221"/>
      <c r="D31" s="4221"/>
      <c r="E31" s="4221"/>
      <c r="F31" s="4221"/>
      <c r="G31" s="4221"/>
      <c r="H31" s="4221"/>
      <c r="I31" s="4221"/>
      <c r="J31" s="4221"/>
      <c r="K31" s="4221"/>
      <c r="L31" s="4221"/>
      <c r="M31" s="4221"/>
    </row>
    <row r="32" spans="1:13" ht="4.5" customHeight="1">
      <c r="A32" s="4219"/>
      <c r="B32" s="4219"/>
      <c r="C32" s="4219"/>
      <c r="D32" s="4219"/>
      <c r="E32" s="4219"/>
      <c r="F32" s="4219"/>
      <c r="G32" s="4219"/>
      <c r="H32" s="4219"/>
      <c r="I32" s="4219"/>
      <c r="J32" s="4219"/>
      <c r="K32" s="4219"/>
      <c r="L32" s="4219"/>
      <c r="M32" s="4219"/>
    </row>
    <row r="33" spans="1:13" ht="16.5">
      <c r="A33" s="4219" t="s">
        <v>4579</v>
      </c>
      <c r="B33" s="4219"/>
      <c r="C33" s="4219"/>
      <c r="D33" s="4219"/>
      <c r="E33" s="4219"/>
      <c r="F33" s="4219"/>
      <c r="G33" s="4219"/>
      <c r="H33" s="4219"/>
      <c r="I33" s="4219"/>
      <c r="J33" s="4219"/>
      <c r="K33" s="4219"/>
      <c r="L33" s="4219"/>
      <c r="M33" s="4219"/>
    </row>
    <row r="34" spans="1:13" ht="6" customHeight="1">
      <c r="A34" s="2577"/>
      <c r="B34" s="2577"/>
      <c r="C34" s="2577"/>
      <c r="D34" s="2577"/>
      <c r="E34" s="2577"/>
      <c r="F34" s="2577"/>
      <c r="G34" s="2577"/>
      <c r="H34" s="2577"/>
      <c r="I34" s="2577"/>
      <c r="J34" s="2577"/>
      <c r="K34" s="2577"/>
      <c r="L34" s="2577"/>
      <c r="M34" s="2577"/>
    </row>
    <row r="35" spans="1:13" ht="16.5">
      <c r="A35" s="4222"/>
      <c r="B35" s="4222"/>
      <c r="C35" s="4222"/>
      <c r="D35" s="4222"/>
      <c r="E35" s="4222"/>
      <c r="F35" s="4222"/>
      <c r="G35" s="596"/>
      <c r="H35" s="4222"/>
      <c r="I35" s="4222"/>
      <c r="J35" s="4222"/>
      <c r="K35" s="4222"/>
      <c r="L35" s="4222"/>
      <c r="M35" s="4222"/>
    </row>
    <row r="36" spans="1:13" ht="12" customHeight="1">
      <c r="A36" s="4223" t="s">
        <v>4580</v>
      </c>
      <c r="B36" s="4223"/>
      <c r="C36" s="4223"/>
      <c r="D36" s="4223"/>
      <c r="E36" s="4223"/>
      <c r="F36" s="4223"/>
      <c r="G36" s="596"/>
      <c r="H36" s="4223" t="s">
        <v>36</v>
      </c>
      <c r="I36" s="4223"/>
      <c r="J36" s="4223"/>
      <c r="K36" s="4223"/>
      <c r="L36" s="4223"/>
      <c r="M36" s="4223"/>
    </row>
    <row r="37" spans="1:13" ht="6" customHeight="1">
      <c r="A37" s="596"/>
      <c r="B37" s="596"/>
      <c r="C37" s="596"/>
      <c r="D37" s="596"/>
      <c r="E37" s="596"/>
      <c r="F37" s="596"/>
      <c r="G37" s="596"/>
      <c r="H37" s="596"/>
      <c r="I37" s="596"/>
      <c r="J37" s="596"/>
      <c r="K37" s="596"/>
      <c r="L37" s="596"/>
      <c r="M37" s="596"/>
    </row>
    <row r="38" spans="1:13" ht="16.5">
      <c r="A38" s="4224"/>
      <c r="B38" s="4224"/>
      <c r="C38" s="4224"/>
      <c r="D38" s="4224"/>
      <c r="E38" s="4224"/>
      <c r="F38" s="4224"/>
      <c r="G38" s="596"/>
      <c r="H38" s="4225"/>
      <c r="I38" s="4225"/>
      <c r="J38" s="4225"/>
      <c r="K38" s="4225"/>
      <c r="L38" s="4225"/>
      <c r="M38" s="4225"/>
    </row>
    <row r="39" spans="1:13" ht="12" customHeight="1">
      <c r="A39" s="4223" t="s">
        <v>4581</v>
      </c>
      <c r="B39" s="4223"/>
      <c r="C39" s="4223"/>
      <c r="D39" s="4223"/>
      <c r="E39" s="4223"/>
      <c r="F39" s="4223"/>
      <c r="G39" s="596"/>
      <c r="H39" s="4223" t="s">
        <v>4582</v>
      </c>
      <c r="I39" s="4223"/>
      <c r="J39" s="4223"/>
      <c r="K39" s="4223"/>
      <c r="L39" s="4223"/>
      <c r="M39" s="4223"/>
    </row>
    <row r="40" spans="1:13" ht="3" customHeight="1">
      <c r="A40" s="599"/>
      <c r="B40" s="599"/>
      <c r="C40" s="599"/>
      <c r="D40" s="599"/>
      <c r="E40" s="599"/>
      <c r="F40" s="599"/>
      <c r="G40" s="596"/>
      <c r="H40" s="599"/>
      <c r="I40" s="599"/>
      <c r="J40" s="599"/>
      <c r="K40" s="599"/>
      <c r="L40" s="599"/>
      <c r="M40" s="599"/>
    </row>
    <row r="41" spans="1:13" ht="11.85" customHeight="1">
      <c r="A41" s="596"/>
      <c r="B41" s="596"/>
      <c r="C41" s="596"/>
      <c r="D41" s="596"/>
      <c r="E41" s="596"/>
      <c r="F41" s="596"/>
      <c r="G41" s="596"/>
      <c r="H41" s="4226" t="s">
        <v>4583</v>
      </c>
      <c r="I41" s="4226"/>
      <c r="J41" s="4226"/>
      <c r="K41" s="4226"/>
      <c r="L41" s="4226"/>
      <c r="M41" s="4226"/>
    </row>
    <row r="42" spans="1:13" ht="11.85" customHeight="1">
      <c r="A42" s="596"/>
      <c r="B42" s="596"/>
      <c r="C42" s="596"/>
      <c r="D42" s="596"/>
      <c r="E42" s="596"/>
      <c r="F42" s="596"/>
      <c r="G42" s="596"/>
    </row>
    <row r="43" spans="1:13" ht="11.85" customHeight="1">
      <c r="A43" s="596"/>
      <c r="B43" s="596"/>
      <c r="C43" s="596"/>
      <c r="D43" s="596"/>
      <c r="E43" s="596"/>
      <c r="F43" s="596"/>
      <c r="G43" s="596"/>
      <c r="H43" s="596"/>
      <c r="I43" s="596"/>
      <c r="J43" s="596"/>
      <c r="K43" s="596"/>
      <c r="L43" s="596"/>
      <c r="M43" s="596"/>
    </row>
    <row r="44" spans="1:13" ht="11.85" customHeight="1">
      <c r="A44" s="596"/>
      <c r="B44" s="596"/>
      <c r="C44" s="596"/>
      <c r="D44" s="596"/>
      <c r="E44" s="596"/>
      <c r="F44" s="596"/>
      <c r="G44" s="596"/>
      <c r="H44" s="596"/>
      <c r="I44" s="596"/>
      <c r="J44" s="596"/>
      <c r="K44" s="596"/>
      <c r="L44" s="596"/>
      <c r="M44" s="596"/>
    </row>
    <row r="45" spans="1:13" ht="11.85" customHeight="1"/>
    <row r="46" spans="1:13" ht="11.85" customHeight="1"/>
    <row r="47" spans="1:13" ht="11.85" customHeight="1"/>
    <row r="48" spans="1:13" ht="11.85" customHeight="1"/>
    <row r="49" ht="11.85" customHeight="1"/>
  </sheetData>
  <sheetProtection algorithmName="SHA-512" hashValue="G6pZDrhFW0V36QROoWwOZQj3DdBHUcO+NOlRXvdnQOthEU9SjBwDSuMcfuzG/ngimOp1eJl9q3pJSp0Sz7b5RQ==" saltValue="2EzuCX57Bmp0Wwp56cjBbQ==" spinCount="100000" sheet="1" objects="1" scenarios="1"/>
  <mergeCells count="35">
    <mergeCell ref="A38:F38"/>
    <mergeCell ref="H38:M38"/>
    <mergeCell ref="A39:F39"/>
    <mergeCell ref="H39:M39"/>
    <mergeCell ref="H41:M41"/>
    <mergeCell ref="A32:M32"/>
    <mergeCell ref="A33:M33"/>
    <mergeCell ref="A35:F35"/>
    <mergeCell ref="H35:M35"/>
    <mergeCell ref="A36:F36"/>
    <mergeCell ref="H36:M36"/>
    <mergeCell ref="A31:M31"/>
    <mergeCell ref="B20:M20"/>
    <mergeCell ref="B21:M21"/>
    <mergeCell ref="A22:M22"/>
    <mergeCell ref="A23:M23"/>
    <mergeCell ref="A24:M24"/>
    <mergeCell ref="B25:M25"/>
    <mergeCell ref="B26:M26"/>
    <mergeCell ref="B27:M27"/>
    <mergeCell ref="A28:M28"/>
    <mergeCell ref="A29:M29"/>
    <mergeCell ref="A30:M30"/>
    <mergeCell ref="B19:M19"/>
    <mergeCell ref="A5:M5"/>
    <mergeCell ref="A9:M9"/>
    <mergeCell ref="A10:M10"/>
    <mergeCell ref="A11:M11"/>
    <mergeCell ref="A12:M12"/>
    <mergeCell ref="B13:M13"/>
    <mergeCell ref="B14:M14"/>
    <mergeCell ref="B15:M15"/>
    <mergeCell ref="B16:M16"/>
    <mergeCell ref="B17:M17"/>
    <mergeCell ref="B18:M18"/>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140625" defaultRowHeight="16.5"/>
  <cols>
    <col min="1" max="1" width="5.42578125" style="904" customWidth="1"/>
    <col min="2" max="2" width="6.140625" style="904" customWidth="1"/>
    <col min="3" max="3" width="9.85546875" style="904" customWidth="1"/>
    <col min="4" max="4" width="10.42578125" style="904" customWidth="1"/>
    <col min="5" max="5" width="7.85546875" style="905" customWidth="1"/>
    <col min="6" max="6" width="8" style="904" customWidth="1"/>
    <col min="7" max="7" width="8.85546875" style="904" customWidth="1"/>
    <col min="8" max="8" width="10.140625" style="904" customWidth="1"/>
    <col min="9" max="9" width="10.85546875" style="904" customWidth="1"/>
    <col min="10" max="11" width="11.85546875" style="904" customWidth="1"/>
    <col min="12" max="16384" width="9.140625" style="904"/>
  </cols>
  <sheetData>
    <row r="1" spans="1:11" ht="18.75">
      <c r="A1" s="925" t="s">
        <v>4584</v>
      </c>
      <c r="B1" s="925"/>
      <c r="C1" s="925"/>
      <c r="D1" s="925"/>
      <c r="E1" s="925"/>
      <c r="F1" s="925"/>
      <c r="G1" s="925"/>
      <c r="H1" s="925"/>
    </row>
    <row r="2" spans="1:11" ht="19.5" thickBot="1">
      <c r="A2" s="925" t="s">
        <v>4585</v>
      </c>
      <c r="B2" s="925"/>
      <c r="C2" s="925"/>
      <c r="D2" s="925"/>
      <c r="E2" s="925"/>
      <c r="F2" s="925"/>
      <c r="G2" s="925"/>
      <c r="H2" s="925"/>
    </row>
    <row r="3" spans="1:11" ht="15" customHeight="1" thickBot="1">
      <c r="A3" s="2832" t="s">
        <v>4586</v>
      </c>
      <c r="B3" s="2833"/>
      <c r="C3" s="2834"/>
      <c r="D3" s="4233" t="str">
        <f>'Part I-Project Identification'!F27</f>
        <v>Westchester Village II</v>
      </c>
      <c r="E3" s="4234"/>
      <c r="F3" s="4234"/>
      <c r="G3" s="4234"/>
      <c r="H3" s="4234"/>
      <c r="I3" s="4234"/>
      <c r="J3" s="4235" t="s">
        <v>4587</v>
      </c>
      <c r="K3" s="4236"/>
    </row>
    <row r="4" spans="1:11" ht="15" customHeight="1">
      <c r="A4" s="906" t="s">
        <v>4588</v>
      </c>
      <c r="B4" s="907"/>
      <c r="C4" s="908"/>
      <c r="D4" s="4237"/>
      <c r="E4" s="4238"/>
      <c r="F4" s="4238"/>
      <c r="G4" s="4238"/>
      <c r="H4" s="4238"/>
      <c r="I4" s="4238"/>
      <c r="J4" s="4239" t="s">
        <v>4589</v>
      </c>
      <c r="K4" s="4240"/>
    </row>
    <row r="5" spans="1:11" ht="15" customHeight="1" thickBot="1">
      <c r="A5" s="909" t="s">
        <v>4590</v>
      </c>
      <c r="B5" s="910"/>
      <c r="C5" s="911"/>
      <c r="D5" s="4243"/>
      <c r="E5" s="4244"/>
      <c r="F5" s="4244"/>
      <c r="G5" s="4244"/>
      <c r="H5" s="4244"/>
      <c r="I5" s="4244"/>
      <c r="J5" s="4241"/>
      <c r="K5" s="4242"/>
    </row>
    <row r="6" spans="1:11" ht="9" customHeight="1" thickBot="1">
      <c r="E6" s="904"/>
    </row>
    <row r="7" spans="1:11">
      <c r="A7" s="4227" t="s">
        <v>4591</v>
      </c>
      <c r="B7" s="4228"/>
      <c r="C7" s="4228"/>
      <c r="D7" s="4228"/>
      <c r="E7" s="4228"/>
      <c r="F7" s="4228"/>
      <c r="G7" s="4228"/>
      <c r="H7" s="4228"/>
      <c r="I7" s="4228"/>
      <c r="J7" s="4228"/>
      <c r="K7" s="4229"/>
    </row>
    <row r="8" spans="1:11" ht="14.25" customHeight="1">
      <c r="A8" s="907"/>
      <c r="B8" s="907"/>
      <c r="C8" s="2835">
        <v>1</v>
      </c>
      <c r="D8" s="2836" t="s">
        <v>4592</v>
      </c>
      <c r="E8" s="2836"/>
      <c r="F8" s="2836"/>
      <c r="G8" s="2836"/>
      <c r="H8" s="2836"/>
      <c r="I8" s="2836"/>
      <c r="J8" s="4247"/>
      <c r="K8" s="4248"/>
    </row>
    <row r="9" spans="1:11" ht="7.35" customHeight="1">
      <c r="A9" s="4249"/>
      <c r="B9" s="4249"/>
      <c r="C9" s="4249"/>
      <c r="D9" s="4250"/>
      <c r="E9" s="4250"/>
      <c r="F9" s="4250"/>
      <c r="G9" s="4250"/>
      <c r="H9" s="4250"/>
      <c r="I9" s="4250"/>
      <c r="J9" s="4250"/>
      <c r="K9" s="2838"/>
    </row>
    <row r="10" spans="1:11">
      <c r="A10" s="4251" t="s">
        <v>4593</v>
      </c>
      <c r="B10" s="4252"/>
      <c r="C10" s="4252"/>
      <c r="D10" s="4252"/>
      <c r="E10" s="4252"/>
      <c r="F10" s="4252"/>
      <c r="G10" s="4252"/>
      <c r="H10" s="4252"/>
      <c r="I10" s="4252"/>
      <c r="J10" s="4252"/>
      <c r="K10" s="4253"/>
    </row>
    <row r="11" spans="1:11" ht="14.25" customHeight="1">
      <c r="A11" s="907"/>
      <c r="B11" s="907"/>
      <c r="C11" s="2835">
        <v>2</v>
      </c>
      <c r="D11" s="2836" t="s">
        <v>4594</v>
      </c>
      <c r="E11" s="2839"/>
      <c r="F11" s="2839"/>
      <c r="G11" s="2839"/>
      <c r="H11" s="2839"/>
      <c r="I11" s="2839"/>
      <c r="J11" s="4254"/>
      <c r="K11" s="4255"/>
    </row>
    <row r="12" spans="1:11" ht="7.35" customHeight="1">
      <c r="A12" s="4249"/>
      <c r="B12" s="4249"/>
      <c r="C12" s="4249"/>
      <c r="D12" s="4250"/>
      <c r="E12" s="4250"/>
      <c r="F12" s="4250"/>
      <c r="G12" s="4250"/>
      <c r="H12" s="4250"/>
      <c r="I12" s="4250"/>
      <c r="J12" s="4250"/>
      <c r="K12" s="2837"/>
    </row>
    <row r="13" spans="1:11">
      <c r="A13" s="4251" t="s">
        <v>4595</v>
      </c>
      <c r="B13" s="4252"/>
      <c r="C13" s="4252"/>
      <c r="D13" s="4252"/>
      <c r="E13" s="4252"/>
      <c r="F13" s="4252"/>
      <c r="G13" s="4252"/>
      <c r="H13" s="4252"/>
      <c r="I13" s="4252"/>
      <c r="J13" s="4252"/>
      <c r="K13" s="4253"/>
    </row>
    <row r="14" spans="1:11" ht="14.25" customHeight="1">
      <c r="A14" s="907"/>
      <c r="B14" s="907"/>
      <c r="C14" s="2840">
        <v>3</v>
      </c>
      <c r="D14" s="2841" t="s">
        <v>4596</v>
      </c>
      <c r="E14" s="2841"/>
      <c r="F14" s="2841"/>
      <c r="G14" s="2841"/>
      <c r="H14" s="2841"/>
      <c r="I14" s="2841"/>
      <c r="J14" s="4256"/>
      <c r="K14" s="4257"/>
    </row>
    <row r="15" spans="1:11" ht="14.25" customHeight="1">
      <c r="A15" s="907"/>
      <c r="B15" s="907"/>
      <c r="C15" s="1050">
        <v>4</v>
      </c>
      <c r="D15" s="907" t="s">
        <v>4597</v>
      </c>
      <c r="E15" s="907"/>
      <c r="F15" s="907"/>
      <c r="G15" s="907"/>
      <c r="H15" s="907"/>
      <c r="I15" s="907"/>
      <c r="J15" s="4258">
        <f>'Part III-A-Uses of Funds'!G130+'Part III-A-Uses of Funds'!G131+'Part III-A-Uses of Funds'!G133+'Part III-A-Uses of Funds'!G120</f>
        <v>472474</v>
      </c>
      <c r="K15" s="4259"/>
    </row>
    <row r="16" spans="1:11" ht="14.25" customHeight="1">
      <c r="A16" s="907"/>
      <c r="B16" s="907"/>
      <c r="C16" s="1050">
        <v>5</v>
      </c>
      <c r="D16" s="907" t="s">
        <v>4598</v>
      </c>
      <c r="E16" s="907"/>
      <c r="F16" s="907"/>
      <c r="G16" s="907"/>
      <c r="H16" s="907"/>
      <c r="I16" s="907"/>
      <c r="J16" s="4260"/>
      <c r="K16" s="4261"/>
    </row>
    <row r="17" spans="1:13" ht="14.25" customHeight="1">
      <c r="A17" s="907"/>
      <c r="B17" s="907"/>
      <c r="C17" s="1051">
        <v>6</v>
      </c>
      <c r="D17" s="910" t="s">
        <v>4599</v>
      </c>
      <c r="E17" s="910"/>
      <c r="F17" s="910"/>
      <c r="G17" s="910"/>
      <c r="H17" s="910"/>
      <c r="I17" s="910"/>
      <c r="J17" s="4262"/>
      <c r="K17" s="4263"/>
    </row>
    <row r="18" spans="1:13" ht="7.35" customHeight="1">
      <c r="A18" s="4249"/>
      <c r="B18" s="4249"/>
      <c r="C18" s="4249"/>
      <c r="D18" s="4250"/>
      <c r="E18" s="4250"/>
      <c r="F18" s="4250"/>
      <c r="G18" s="4250"/>
      <c r="H18" s="4250"/>
      <c r="I18" s="4250"/>
      <c r="J18" s="4250"/>
      <c r="K18" s="2837"/>
    </row>
    <row r="19" spans="1:13" ht="14.25" customHeight="1">
      <c r="A19" s="907"/>
      <c r="B19" s="907"/>
      <c r="C19" s="2840">
        <v>7</v>
      </c>
      <c r="D19" s="2841" t="s">
        <v>4600</v>
      </c>
      <c r="E19" s="2841"/>
      <c r="F19" s="2841"/>
      <c r="G19" s="2841"/>
      <c r="H19" s="2841"/>
      <c r="I19" s="2841"/>
      <c r="J19" s="4245" t="str">
        <f>IF(J17="No",J14-J15,IF(J17="Yes",J14-J15-J16,"Error"))</f>
        <v>Error</v>
      </c>
      <c r="K19" s="4246"/>
    </row>
    <row r="20" spans="1:13" ht="14.25" customHeight="1">
      <c r="A20" s="907"/>
      <c r="B20" s="907"/>
      <c r="C20" s="1051">
        <v>8</v>
      </c>
      <c r="D20" s="910" t="s">
        <v>4601</v>
      </c>
      <c r="E20" s="910"/>
      <c r="F20" s="910"/>
      <c r="G20" s="910"/>
      <c r="H20" s="910"/>
      <c r="I20" s="910"/>
      <c r="J20" s="4264" t="e">
        <f>ROUNDDOWN(J19/J8,2)</f>
        <v>#VALUE!</v>
      </c>
      <c r="K20" s="4265"/>
    </row>
    <row r="21" spans="1:13" ht="7.35" customHeight="1">
      <c r="A21" s="4249"/>
      <c r="B21" s="4249"/>
      <c r="C21" s="4249"/>
      <c r="D21" s="4250"/>
      <c r="E21" s="4250"/>
      <c r="F21" s="4250"/>
      <c r="G21" s="4250"/>
      <c r="H21" s="4250"/>
      <c r="I21" s="4250"/>
      <c r="J21" s="4250"/>
      <c r="K21" s="2837"/>
    </row>
    <row r="22" spans="1:13" ht="14.25" customHeight="1" thickBot="1">
      <c r="A22" s="907"/>
      <c r="B22" s="907"/>
      <c r="C22" s="2835">
        <v>9</v>
      </c>
      <c r="D22" s="2842" t="s">
        <v>4602</v>
      </c>
      <c r="E22" s="2842"/>
      <c r="F22" s="2842"/>
      <c r="G22" s="2842"/>
      <c r="H22" s="2842"/>
      <c r="I22" s="2842"/>
      <c r="J22" s="4266" t="e">
        <f>J11/J19</f>
        <v>#VALUE!</v>
      </c>
      <c r="K22" s="4267"/>
    </row>
    <row r="23" spans="1:13" ht="9" customHeight="1">
      <c r="A23" s="2578"/>
      <c r="C23" s="913"/>
      <c r="D23" s="913"/>
      <c r="E23" s="913"/>
      <c r="F23" s="913"/>
      <c r="G23" s="913"/>
      <c r="H23" s="913"/>
      <c r="I23" s="913"/>
      <c r="J23" s="913"/>
      <c r="K23" s="914"/>
    </row>
    <row r="24" spans="1:13" ht="18.75">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8" t="s">
        <v>4608</v>
      </c>
      <c r="B30" s="4269"/>
      <c r="C30" s="4269"/>
      <c r="D30" s="4269"/>
      <c r="E30" s="4269"/>
      <c r="F30" s="4269"/>
      <c r="G30" s="4269"/>
      <c r="H30" s="4269"/>
      <c r="I30" s="4269"/>
      <c r="J30" s="4269"/>
      <c r="K30" s="4270"/>
    </row>
    <row r="31" spans="1:13">
      <c r="B31" s="4271" t="s">
        <v>4587</v>
      </c>
      <c r="C31" s="4271"/>
      <c r="D31" s="4271"/>
      <c r="E31" s="4271"/>
      <c r="F31" s="4271"/>
      <c r="G31" s="4272" t="s">
        <v>4609</v>
      </c>
      <c r="H31" s="4273"/>
      <c r="I31" s="4273"/>
      <c r="J31" s="4273"/>
      <c r="K31" s="4274"/>
    </row>
    <row r="32" spans="1:13" ht="56.25" customHeight="1">
      <c r="A32" s="2510"/>
      <c r="B32" s="921" t="s">
        <v>4610</v>
      </c>
      <c r="C32" s="922" t="s">
        <v>4611</v>
      </c>
      <c r="D32" s="922" t="s">
        <v>4612</v>
      </c>
      <c r="E32" s="4275" t="s">
        <v>4613</v>
      </c>
      <c r="F32" s="4276"/>
      <c r="G32" s="923" t="s">
        <v>4614</v>
      </c>
      <c r="H32" s="923" t="s">
        <v>4615</v>
      </c>
      <c r="J32" s="923" t="s">
        <v>4616</v>
      </c>
      <c r="K32" s="923" t="s">
        <v>4617</v>
      </c>
      <c r="L32" s="4277" t="s">
        <v>4618</v>
      </c>
      <c r="M32" s="4277"/>
    </row>
    <row r="33" spans="2:14" ht="12.75" customHeight="1">
      <c r="B33" s="2843"/>
      <c r="C33" s="2844"/>
      <c r="D33" s="2845"/>
      <c r="E33" s="4278"/>
      <c r="F33" s="4279"/>
      <c r="G33" s="2846" t="e">
        <f t="shared" ref="G33:G51" si="0">$J$22*B33</f>
        <v>#VALUE!</v>
      </c>
      <c r="H33" s="2847" t="e">
        <f>ROUNDUP(G33,0)</f>
        <v>#VALUE!</v>
      </c>
      <c r="I33" s="933"/>
      <c r="J33" s="2848" t="e">
        <f t="shared" ref="J33:J51" si="1">$J$20*E33</f>
        <v>#VALUE!</v>
      </c>
      <c r="K33" s="2848" t="e">
        <f t="shared" ref="K33:K51" si="2">ROUNDDOWN(J33*H33,0)</f>
        <v>#VALUE!</v>
      </c>
      <c r="L33" s="4277"/>
      <c r="M33" s="4277"/>
    </row>
    <row r="34" spans="2:14" ht="12.75" customHeight="1">
      <c r="B34" s="1044"/>
      <c r="C34" s="1045"/>
      <c r="D34" s="1046"/>
      <c r="E34" s="4280"/>
      <c r="F34" s="4281"/>
      <c r="G34" s="934" t="e">
        <f t="shared" si="0"/>
        <v>#VALUE!</v>
      </c>
      <c r="H34" s="935" t="e">
        <f t="shared" ref="H34:H51" si="3">ROUNDUP(G34,0)</f>
        <v>#VALUE!</v>
      </c>
      <c r="I34" s="933"/>
      <c r="J34" s="936" t="e">
        <f t="shared" si="1"/>
        <v>#VALUE!</v>
      </c>
      <c r="K34" s="936" t="e">
        <f t="shared" si="2"/>
        <v>#VALUE!</v>
      </c>
      <c r="L34" s="4277"/>
      <c r="M34" s="4277"/>
    </row>
    <row r="35" spans="2:14" ht="12.75" customHeight="1">
      <c r="B35" s="1044"/>
      <c r="C35" s="1045"/>
      <c r="D35" s="1046"/>
      <c r="E35" s="4280"/>
      <c r="F35" s="4281"/>
      <c r="G35" s="934" t="e">
        <f t="shared" si="0"/>
        <v>#VALUE!</v>
      </c>
      <c r="H35" s="935" t="e">
        <f t="shared" si="3"/>
        <v>#VALUE!</v>
      </c>
      <c r="I35" s="933"/>
      <c r="J35" s="936" t="e">
        <f t="shared" si="1"/>
        <v>#VALUE!</v>
      </c>
      <c r="K35" s="936" t="e">
        <f t="shared" si="2"/>
        <v>#VALUE!</v>
      </c>
      <c r="L35" s="4277"/>
      <c r="M35" s="4277"/>
    </row>
    <row r="36" spans="2:14" ht="12.75" customHeight="1">
      <c r="B36" s="1044"/>
      <c r="C36" s="1045"/>
      <c r="D36" s="1046"/>
      <c r="E36" s="4280"/>
      <c r="F36" s="4281"/>
      <c r="G36" s="934" t="e">
        <f t="shared" si="0"/>
        <v>#VALUE!</v>
      </c>
      <c r="H36" s="935" t="e">
        <f t="shared" si="3"/>
        <v>#VALUE!</v>
      </c>
      <c r="I36" s="933"/>
      <c r="J36" s="936" t="e">
        <f t="shared" si="1"/>
        <v>#VALUE!</v>
      </c>
      <c r="K36" s="936" t="e">
        <f t="shared" si="2"/>
        <v>#VALUE!</v>
      </c>
      <c r="L36" s="4277"/>
      <c r="M36" s="4277"/>
      <c r="N36" s="916"/>
    </row>
    <row r="37" spans="2:14" ht="12.75" customHeight="1">
      <c r="B37" s="1044"/>
      <c r="C37" s="1045"/>
      <c r="D37" s="1046"/>
      <c r="E37" s="4280"/>
      <c r="F37" s="4281"/>
      <c r="G37" s="934" t="e">
        <f t="shared" si="0"/>
        <v>#VALUE!</v>
      </c>
      <c r="H37" s="935" t="e">
        <f t="shared" si="3"/>
        <v>#VALUE!</v>
      </c>
      <c r="I37" s="933"/>
      <c r="J37" s="936" t="e">
        <f t="shared" si="1"/>
        <v>#VALUE!</v>
      </c>
      <c r="K37" s="936" t="e">
        <f t="shared" si="2"/>
        <v>#VALUE!</v>
      </c>
      <c r="L37" s="4277"/>
      <c r="M37" s="4277"/>
    </row>
    <row r="38" spans="2:14" ht="12.75" customHeight="1">
      <c r="B38" s="1044"/>
      <c r="C38" s="1045"/>
      <c r="D38" s="1046"/>
      <c r="E38" s="4280"/>
      <c r="F38" s="4281"/>
      <c r="G38" s="934" t="e">
        <f t="shared" si="0"/>
        <v>#VALUE!</v>
      </c>
      <c r="H38" s="935" t="e">
        <f t="shared" si="3"/>
        <v>#VALUE!</v>
      </c>
      <c r="I38" s="933"/>
      <c r="J38" s="936" t="e">
        <f t="shared" si="1"/>
        <v>#VALUE!</v>
      </c>
      <c r="K38" s="936" t="e">
        <f t="shared" si="2"/>
        <v>#VALUE!</v>
      </c>
      <c r="L38" s="4277"/>
      <c r="M38" s="4277"/>
    </row>
    <row r="39" spans="2:14" ht="12.75" customHeight="1">
      <c r="B39" s="1044"/>
      <c r="C39" s="1045"/>
      <c r="D39" s="1046"/>
      <c r="E39" s="4280"/>
      <c r="F39" s="4281"/>
      <c r="G39" s="934" t="e">
        <f t="shared" si="0"/>
        <v>#VALUE!</v>
      </c>
      <c r="H39" s="935" t="e">
        <f t="shared" si="3"/>
        <v>#VALUE!</v>
      </c>
      <c r="I39" s="933"/>
      <c r="J39" s="936" t="e">
        <f t="shared" si="1"/>
        <v>#VALUE!</v>
      </c>
      <c r="K39" s="936" t="e">
        <f t="shared" si="2"/>
        <v>#VALUE!</v>
      </c>
      <c r="L39" s="4277"/>
      <c r="M39" s="4277"/>
    </row>
    <row r="40" spans="2:14" ht="12.75" customHeight="1">
      <c r="B40" s="1044"/>
      <c r="C40" s="1045"/>
      <c r="D40" s="1046"/>
      <c r="E40" s="4280"/>
      <c r="F40" s="4281"/>
      <c r="G40" s="934" t="e">
        <f t="shared" si="0"/>
        <v>#VALUE!</v>
      </c>
      <c r="H40" s="935" t="e">
        <f t="shared" si="3"/>
        <v>#VALUE!</v>
      </c>
      <c r="I40" s="933"/>
      <c r="J40" s="936" t="e">
        <f t="shared" si="1"/>
        <v>#VALUE!</v>
      </c>
      <c r="K40" s="936" t="e">
        <f t="shared" si="2"/>
        <v>#VALUE!</v>
      </c>
      <c r="L40" s="4277"/>
      <c r="M40" s="4277"/>
    </row>
    <row r="41" spans="2:14" ht="12.75" customHeight="1">
      <c r="B41" s="1044"/>
      <c r="C41" s="1045"/>
      <c r="D41" s="1046"/>
      <c r="E41" s="4280"/>
      <c r="F41" s="4281"/>
      <c r="G41" s="934" t="e">
        <f t="shared" si="0"/>
        <v>#VALUE!</v>
      </c>
      <c r="H41" s="935" t="e">
        <f t="shared" si="3"/>
        <v>#VALUE!</v>
      </c>
      <c r="I41" s="933"/>
      <c r="J41" s="936" t="e">
        <f t="shared" si="1"/>
        <v>#VALUE!</v>
      </c>
      <c r="K41" s="936" t="e">
        <f t="shared" si="2"/>
        <v>#VALUE!</v>
      </c>
      <c r="L41" s="4277"/>
      <c r="M41" s="4277"/>
    </row>
    <row r="42" spans="2:14" ht="12.75" customHeight="1">
      <c r="B42" s="1044"/>
      <c r="C42" s="1045"/>
      <c r="D42" s="1046"/>
      <c r="E42" s="4280"/>
      <c r="F42" s="4281"/>
      <c r="G42" s="934" t="e">
        <f t="shared" si="0"/>
        <v>#VALUE!</v>
      </c>
      <c r="H42" s="935" t="e">
        <f t="shared" si="3"/>
        <v>#VALUE!</v>
      </c>
      <c r="I42" s="933"/>
      <c r="J42" s="936" t="e">
        <f t="shared" si="1"/>
        <v>#VALUE!</v>
      </c>
      <c r="K42" s="936" t="e">
        <f t="shared" si="2"/>
        <v>#VALUE!</v>
      </c>
      <c r="L42" s="4277"/>
      <c r="M42" s="4277"/>
    </row>
    <row r="43" spans="2:14" ht="12.75" customHeight="1">
      <c r="B43" s="1044"/>
      <c r="C43" s="1045"/>
      <c r="D43" s="1046"/>
      <c r="E43" s="4280"/>
      <c r="F43" s="4281"/>
      <c r="G43" s="934" t="e">
        <f t="shared" si="0"/>
        <v>#VALUE!</v>
      </c>
      <c r="H43" s="935" t="e">
        <f t="shared" si="3"/>
        <v>#VALUE!</v>
      </c>
      <c r="I43" s="933"/>
      <c r="J43" s="936" t="e">
        <f t="shared" si="1"/>
        <v>#VALUE!</v>
      </c>
      <c r="K43" s="936" t="e">
        <f t="shared" si="2"/>
        <v>#VALUE!</v>
      </c>
      <c r="L43" s="4277"/>
      <c r="M43" s="4277"/>
    </row>
    <row r="44" spans="2:14" ht="12.75" customHeight="1">
      <c r="B44" s="1044"/>
      <c r="C44" s="1045"/>
      <c r="D44" s="1046"/>
      <c r="E44" s="4280"/>
      <c r="F44" s="4281"/>
      <c r="G44" s="934" t="e">
        <f t="shared" si="0"/>
        <v>#VALUE!</v>
      </c>
      <c r="H44" s="935" t="e">
        <f t="shared" si="3"/>
        <v>#VALUE!</v>
      </c>
      <c r="I44" s="933"/>
      <c r="J44" s="936" t="e">
        <f t="shared" si="1"/>
        <v>#VALUE!</v>
      </c>
      <c r="K44" s="936" t="e">
        <f t="shared" si="2"/>
        <v>#VALUE!</v>
      </c>
      <c r="L44" s="4277"/>
      <c r="M44" s="4277"/>
    </row>
    <row r="45" spans="2:14" ht="12.75" customHeight="1">
      <c r="B45" s="1044"/>
      <c r="C45" s="1045"/>
      <c r="D45" s="1046"/>
      <c r="E45" s="4280"/>
      <c r="F45" s="4281"/>
      <c r="G45" s="934" t="e">
        <f t="shared" si="0"/>
        <v>#VALUE!</v>
      </c>
      <c r="H45" s="935" t="e">
        <f t="shared" si="3"/>
        <v>#VALUE!</v>
      </c>
      <c r="I45" s="933"/>
      <c r="J45" s="936" t="e">
        <f t="shared" si="1"/>
        <v>#VALUE!</v>
      </c>
      <c r="K45" s="936" t="e">
        <f t="shared" si="2"/>
        <v>#VALUE!</v>
      </c>
      <c r="L45" s="4277"/>
      <c r="M45" s="4277"/>
    </row>
    <row r="46" spans="2:14" ht="12.75" customHeight="1">
      <c r="B46" s="1044"/>
      <c r="C46" s="1045"/>
      <c r="D46" s="1046"/>
      <c r="E46" s="4280"/>
      <c r="F46" s="4281"/>
      <c r="G46" s="934" t="e">
        <f t="shared" si="0"/>
        <v>#VALUE!</v>
      </c>
      <c r="H46" s="935" t="e">
        <f t="shared" si="3"/>
        <v>#VALUE!</v>
      </c>
      <c r="I46" s="933"/>
      <c r="J46" s="936" t="e">
        <f t="shared" si="1"/>
        <v>#VALUE!</v>
      </c>
      <c r="K46" s="936" t="e">
        <f t="shared" si="2"/>
        <v>#VALUE!</v>
      </c>
      <c r="L46" s="4277"/>
      <c r="M46" s="4277"/>
    </row>
    <row r="47" spans="2:14" ht="12.75" customHeight="1">
      <c r="B47" s="1044"/>
      <c r="C47" s="1045"/>
      <c r="D47" s="1046"/>
      <c r="E47" s="4280"/>
      <c r="F47" s="4281"/>
      <c r="G47" s="934" t="e">
        <f t="shared" si="0"/>
        <v>#VALUE!</v>
      </c>
      <c r="H47" s="935" t="e">
        <f t="shared" si="3"/>
        <v>#VALUE!</v>
      </c>
      <c r="I47" s="933"/>
      <c r="J47" s="936" t="e">
        <f t="shared" si="1"/>
        <v>#VALUE!</v>
      </c>
      <c r="K47" s="936" t="e">
        <f t="shared" si="2"/>
        <v>#VALUE!</v>
      </c>
      <c r="L47" s="4277"/>
      <c r="M47" s="4277"/>
    </row>
    <row r="48" spans="2:14" ht="12.75" customHeight="1">
      <c r="B48" s="1044"/>
      <c r="C48" s="1045"/>
      <c r="D48" s="1046"/>
      <c r="E48" s="4280"/>
      <c r="F48" s="4281"/>
      <c r="G48" s="934" t="e">
        <f t="shared" si="0"/>
        <v>#VALUE!</v>
      </c>
      <c r="H48" s="935" t="e">
        <f t="shared" si="3"/>
        <v>#VALUE!</v>
      </c>
      <c r="I48" s="933"/>
      <c r="J48" s="936" t="e">
        <f t="shared" si="1"/>
        <v>#VALUE!</v>
      </c>
      <c r="K48" s="936" t="e">
        <f t="shared" si="2"/>
        <v>#VALUE!</v>
      </c>
      <c r="L48" s="4277"/>
      <c r="M48" s="4277"/>
    </row>
    <row r="49" spans="1:13" ht="12.75" customHeight="1">
      <c r="B49" s="1044"/>
      <c r="C49" s="1045"/>
      <c r="D49" s="1046"/>
      <c r="E49" s="4280"/>
      <c r="F49" s="4281"/>
      <c r="G49" s="934" t="e">
        <f t="shared" si="0"/>
        <v>#VALUE!</v>
      </c>
      <c r="H49" s="935" t="e">
        <f t="shared" si="3"/>
        <v>#VALUE!</v>
      </c>
      <c r="I49" s="933"/>
      <c r="J49" s="936" t="e">
        <f t="shared" si="1"/>
        <v>#VALUE!</v>
      </c>
      <c r="K49" s="936" t="e">
        <f t="shared" si="2"/>
        <v>#VALUE!</v>
      </c>
      <c r="L49" s="4277"/>
      <c r="M49" s="4277"/>
    </row>
    <row r="50" spans="1:13" ht="12.75" customHeight="1">
      <c r="B50" s="1044"/>
      <c r="C50" s="1045"/>
      <c r="D50" s="1046"/>
      <c r="E50" s="4280"/>
      <c r="F50" s="4281"/>
      <c r="G50" s="934" t="e">
        <f t="shared" si="0"/>
        <v>#VALUE!</v>
      </c>
      <c r="H50" s="935" t="e">
        <f t="shared" si="3"/>
        <v>#VALUE!</v>
      </c>
      <c r="I50" s="933"/>
      <c r="J50" s="936" t="e">
        <f t="shared" si="1"/>
        <v>#VALUE!</v>
      </c>
      <c r="K50" s="936" t="e">
        <f t="shared" si="2"/>
        <v>#VALUE!</v>
      </c>
      <c r="L50" s="4277"/>
      <c r="M50" s="4277"/>
    </row>
    <row r="51" spans="1:13" ht="12.75" customHeight="1" thickBot="1">
      <c r="B51" s="1047"/>
      <c r="C51" s="1048"/>
      <c r="D51" s="1049"/>
      <c r="E51" s="4284"/>
      <c r="F51" s="4285"/>
      <c r="G51" s="937" t="e">
        <f t="shared" si="0"/>
        <v>#VALUE!</v>
      </c>
      <c r="H51" s="938" t="e">
        <f t="shared" si="3"/>
        <v>#VALUE!</v>
      </c>
      <c r="I51" s="933"/>
      <c r="J51" s="939" t="e">
        <f t="shared" si="1"/>
        <v>#VALUE!</v>
      </c>
      <c r="K51" s="939" t="e">
        <f t="shared" si="2"/>
        <v>#VALUE!</v>
      </c>
      <c r="L51" s="4277"/>
      <c r="M51" s="4277"/>
    </row>
    <row r="52" spans="1:13" ht="15" customHeight="1" thickBot="1">
      <c r="B52" s="2849"/>
      <c r="D52" s="2841"/>
      <c r="E52" s="2841"/>
      <c r="F52" s="2841"/>
      <c r="G52" s="2850" t="s">
        <v>4619</v>
      </c>
      <c r="H52" s="924" t="e">
        <f>SUM(H33:H51)</f>
        <v>#VALUE!</v>
      </c>
      <c r="I52" s="2841"/>
      <c r="J52" s="2849" t="s">
        <v>4620</v>
      </c>
      <c r="K52" s="2851" t="e">
        <f>SUM(K33:K51)</f>
        <v>#VALUE!</v>
      </c>
      <c r="L52" s="4277"/>
      <c r="M52" s="4277"/>
    </row>
    <row r="53" spans="1:13" ht="15" customHeight="1">
      <c r="B53" s="2580"/>
      <c r="C53" s="4282" t="s">
        <v>4621</v>
      </c>
      <c r="D53" s="4282"/>
      <c r="E53" s="4282"/>
      <c r="F53" s="4282"/>
      <c r="G53" s="4282"/>
      <c r="H53" s="4282"/>
      <c r="I53" s="4282"/>
      <c r="J53" s="4283"/>
      <c r="K53" s="2852" t="str">
        <f>IF(J17="no",0,IF(J17="yes",J16,"Error"))</f>
        <v>Error</v>
      </c>
      <c r="L53" s="4277"/>
      <c r="M53" s="4277"/>
    </row>
    <row r="54" spans="1:13" ht="15" customHeight="1" thickBot="1">
      <c r="B54" s="2580"/>
      <c r="C54" s="4286" t="s">
        <v>4622</v>
      </c>
      <c r="D54" s="4286"/>
      <c r="E54" s="4286"/>
      <c r="F54" s="4286"/>
      <c r="G54" s="4286"/>
      <c r="H54" s="4286"/>
      <c r="I54" s="4286"/>
      <c r="J54" s="4287"/>
      <c r="K54" s="2853" t="e">
        <f>K52+K53</f>
        <v>#VALUE!</v>
      </c>
    </row>
    <row r="55" spans="1:13" ht="8.1" customHeight="1">
      <c r="A55" s="4288"/>
      <c r="B55" s="4289"/>
      <c r="C55" s="4289"/>
      <c r="D55" s="4289"/>
      <c r="E55" s="4289"/>
      <c r="F55" s="4289"/>
      <c r="G55" s="4289"/>
      <c r="H55" s="4289"/>
      <c r="I55" s="4289"/>
      <c r="J55" s="4289"/>
      <c r="K55" s="932"/>
    </row>
    <row r="56" spans="1:13" ht="15" customHeight="1">
      <c r="A56" s="4290" t="s">
        <v>4623</v>
      </c>
      <c r="B56" s="4291"/>
      <c r="C56" s="4291"/>
      <c r="D56" s="4291"/>
      <c r="E56" s="4291"/>
      <c r="F56" s="4291"/>
      <c r="G56" s="4291"/>
      <c r="H56" s="4291"/>
      <c r="I56" s="4291"/>
      <c r="J56" s="4291"/>
      <c r="K56" s="4292"/>
    </row>
    <row r="57" spans="1:13" ht="48" customHeight="1">
      <c r="A57" s="2854"/>
      <c r="B57" s="2855"/>
      <c r="C57" s="2856" t="s">
        <v>4624</v>
      </c>
      <c r="D57" s="989" t="s">
        <v>4625</v>
      </c>
      <c r="E57" s="4293" t="s">
        <v>4626</v>
      </c>
      <c r="F57" s="4294"/>
      <c r="G57" s="4295" t="s">
        <v>4627</v>
      </c>
      <c r="H57" s="4296"/>
      <c r="I57" s="4293" t="s">
        <v>4628</v>
      </c>
      <c r="J57" s="4294"/>
      <c r="K57" s="4297"/>
      <c r="L57" s="4230" t="s">
        <v>4629</v>
      </c>
      <c r="M57" s="4231"/>
    </row>
    <row r="58" spans="1:13" ht="15" customHeight="1">
      <c r="A58" s="2579"/>
      <c r="B58" s="928"/>
      <c r="C58" s="2857">
        <f>SUMIF(C33:C51, "0", H33:H51)</f>
        <v>0</v>
      </c>
      <c r="D58" s="2858">
        <f t="shared" ref="D58:D63" si="4">ROUNDUP(C58*1.1,0)</f>
        <v>0</v>
      </c>
      <c r="E58" s="4299" t="s">
        <v>4630</v>
      </c>
      <c r="F58" s="4300"/>
      <c r="G58" s="4301">
        <f>'DCA Underwriting Assumptions'!H156</f>
        <v>181488</v>
      </c>
      <c r="H58" s="4302"/>
      <c r="I58" s="4303">
        <f t="shared" ref="I58:I63" si="5">D58*G58</f>
        <v>0</v>
      </c>
      <c r="J58" s="4303"/>
      <c r="K58" s="4298"/>
      <c r="L58" s="4232"/>
      <c r="M58" s="4231"/>
    </row>
    <row r="59" spans="1:13">
      <c r="A59" s="2579"/>
      <c r="B59" s="928"/>
      <c r="C59" s="917">
        <f>SUMIF(C33:C51, "1", H33:H51)</f>
        <v>0</v>
      </c>
      <c r="D59" s="990">
        <f t="shared" si="4"/>
        <v>0</v>
      </c>
      <c r="E59" s="4304" t="s">
        <v>4631</v>
      </c>
      <c r="F59" s="4305"/>
      <c r="G59" s="4301">
        <f>'DCA Underwriting Assumptions'!H157</f>
        <v>208048.8</v>
      </c>
      <c r="H59" s="4302"/>
      <c r="I59" s="4306">
        <f t="shared" si="5"/>
        <v>0</v>
      </c>
      <c r="J59" s="4306"/>
      <c r="K59" s="4298"/>
      <c r="L59" s="4232"/>
      <c r="M59" s="4231"/>
    </row>
    <row r="60" spans="1:13" ht="15" customHeight="1">
      <c r="A60" s="2579"/>
      <c r="B60" s="928"/>
      <c r="C60" s="917">
        <f>SUMIF(C33:C51, "2", H33:H51)</f>
        <v>0</v>
      </c>
      <c r="D60" s="990">
        <f t="shared" si="4"/>
        <v>0</v>
      </c>
      <c r="E60" s="4304" t="s">
        <v>4632</v>
      </c>
      <c r="F60" s="4305"/>
      <c r="G60" s="4301">
        <f>'DCA Underwriting Assumptions'!H158</f>
        <v>252993.59999999998</v>
      </c>
      <c r="H60" s="4302"/>
      <c r="I60" s="4306">
        <f t="shared" si="5"/>
        <v>0</v>
      </c>
      <c r="J60" s="4306"/>
      <c r="K60" s="4298"/>
      <c r="L60" s="4232"/>
      <c r="M60" s="4231"/>
    </row>
    <row r="61" spans="1:13">
      <c r="A61" s="2579"/>
      <c r="B61" s="928"/>
      <c r="C61" s="917">
        <f>SUMIF(C33:C51, "3", H33:H51)</f>
        <v>0</v>
      </c>
      <c r="D61" s="990">
        <f t="shared" si="4"/>
        <v>0</v>
      </c>
      <c r="E61" s="4304" t="s">
        <v>4633</v>
      </c>
      <c r="F61" s="4305"/>
      <c r="G61" s="4301">
        <f>'DCA Underwriting Assumptions'!H159</f>
        <v>327292.79999999999</v>
      </c>
      <c r="H61" s="4302"/>
      <c r="I61" s="4306">
        <f t="shared" si="5"/>
        <v>0</v>
      </c>
      <c r="J61" s="4306"/>
      <c r="K61" s="4298"/>
      <c r="L61" s="4232"/>
      <c r="M61" s="4231"/>
    </row>
    <row r="62" spans="1:13">
      <c r="A62" s="2579"/>
      <c r="B62" s="928"/>
      <c r="C62" s="917">
        <f>SUMIF(C33:C51, "4", H33:H51)</f>
        <v>0</v>
      </c>
      <c r="D62" s="990">
        <f t="shared" si="4"/>
        <v>0</v>
      </c>
      <c r="E62" s="4304" t="s">
        <v>4634</v>
      </c>
      <c r="F62" s="4305"/>
      <c r="G62" s="4301">
        <f>'DCA Underwriting Assumptions'!H160</f>
        <v>359263.2</v>
      </c>
      <c r="H62" s="4302"/>
      <c r="I62" s="4306">
        <f t="shared" si="5"/>
        <v>0</v>
      </c>
      <c r="J62" s="4306"/>
      <c r="K62" s="4298"/>
      <c r="L62" s="4232"/>
      <c r="M62" s="4231"/>
    </row>
    <row r="63" spans="1:13">
      <c r="A63" s="988"/>
      <c r="B63" s="929"/>
      <c r="C63" s="918">
        <f>SUMIF(C33:C51, "5", H33:H51)</f>
        <v>0</v>
      </c>
      <c r="D63" s="991">
        <f t="shared" si="4"/>
        <v>0</v>
      </c>
      <c r="E63" s="4308" t="s">
        <v>4635</v>
      </c>
      <c r="F63" s="4309"/>
      <c r="G63" s="4301">
        <f>'DCA Underwriting Assumptions'!H160</f>
        <v>359263.2</v>
      </c>
      <c r="H63" s="4302"/>
      <c r="I63" s="4310">
        <f t="shared" si="5"/>
        <v>0</v>
      </c>
      <c r="J63" s="4310"/>
      <c r="K63" s="931"/>
      <c r="L63" s="4232"/>
      <c r="M63" s="4231"/>
    </row>
    <row r="64" spans="1:13" ht="17.25" thickBot="1">
      <c r="A64" s="2859" t="s">
        <v>4636</v>
      </c>
      <c r="B64" s="2860">
        <f>SUM(C58:C63)</f>
        <v>0</v>
      </c>
      <c r="C64" s="2861"/>
      <c r="D64" s="2861">
        <f>SUM(D58:D63)</f>
        <v>0</v>
      </c>
      <c r="E64" s="2862"/>
      <c r="F64" s="2862"/>
      <c r="G64" s="2862"/>
      <c r="H64" s="2862"/>
      <c r="I64" s="2862"/>
      <c r="J64" s="2863" t="s">
        <v>4637</v>
      </c>
      <c r="K64" s="2864">
        <f>SUM(I58:I62)</f>
        <v>0</v>
      </c>
    </row>
    <row r="65" spans="1:11">
      <c r="A65" s="4289"/>
      <c r="B65" s="4289"/>
      <c r="C65" s="4289"/>
      <c r="D65" s="4289"/>
      <c r="E65" s="4289"/>
      <c r="F65" s="4289"/>
      <c r="G65" s="4289"/>
      <c r="H65" s="4289"/>
      <c r="I65" s="4289"/>
      <c r="J65" s="4289"/>
    </row>
    <row r="66" spans="1:11">
      <c r="A66" s="4290" t="s">
        <v>4638</v>
      </c>
      <c r="B66" s="4291"/>
      <c r="C66" s="4291"/>
      <c r="D66" s="4291"/>
      <c r="E66" s="4291"/>
      <c r="F66" s="4291"/>
      <c r="G66" s="4291"/>
      <c r="H66" s="4291"/>
      <c r="I66" s="4291"/>
      <c r="J66" s="4291"/>
      <c r="K66" s="4292"/>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7.25" thickBot="1">
      <c r="A69" s="927"/>
      <c r="B69" s="912"/>
      <c r="C69" s="912"/>
      <c r="D69" s="912"/>
      <c r="E69" s="912" t="s">
        <v>4641</v>
      </c>
      <c r="F69" s="912"/>
      <c r="G69" s="912"/>
      <c r="H69" s="912"/>
      <c r="I69" s="912"/>
      <c r="J69" s="929"/>
      <c r="K69" s="2868">
        <f>K64</f>
        <v>0</v>
      </c>
    </row>
    <row r="70" spans="1:11" ht="17.25" thickBot="1">
      <c r="A70" s="2869"/>
      <c r="B70" s="2870"/>
      <c r="C70" s="4307" t="s">
        <v>4642</v>
      </c>
      <c r="D70" s="4307"/>
      <c r="E70" s="4307"/>
      <c r="F70" s="4307"/>
      <c r="G70" s="4307"/>
      <c r="H70" s="4307"/>
      <c r="I70" s="4307"/>
      <c r="J70" s="4307"/>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C70:J70"/>
    <mergeCell ref="E61:F61"/>
    <mergeCell ref="G61:H61"/>
    <mergeCell ref="I61:J61"/>
    <mergeCell ref="E62:F62"/>
    <mergeCell ref="G62:H62"/>
    <mergeCell ref="I62:J62"/>
    <mergeCell ref="E63:F63"/>
    <mergeCell ref="G63:H63"/>
    <mergeCell ref="I63:J63"/>
    <mergeCell ref="A65:J65"/>
    <mergeCell ref="A66:K66"/>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E47:F47"/>
    <mergeCell ref="E48:F48"/>
    <mergeCell ref="E49:F49"/>
    <mergeCell ref="E50:F50"/>
    <mergeCell ref="E51:F51"/>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J22:K22"/>
    <mergeCell ref="A30:K30"/>
    <mergeCell ref="B31:F31"/>
    <mergeCell ref="G31:K31"/>
    <mergeCell ref="E32:F32"/>
    <mergeCell ref="J16:K16"/>
    <mergeCell ref="J17:K17"/>
    <mergeCell ref="A18:J18"/>
    <mergeCell ref="J20:K20"/>
    <mergeCell ref="A21:J21"/>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85546875" defaultRowHeight="12.75"/>
  <cols>
    <col min="1" max="1" width="1.85546875" customWidth="1"/>
    <col min="2" max="2" width="5.140625" customWidth="1"/>
    <col min="3" max="3" width="9.85546875" customWidth="1"/>
    <col min="4" max="6" width="7.85546875" customWidth="1"/>
    <col min="7" max="7" width="10.85546875" customWidth="1"/>
    <col min="8" max="8" width="7.85546875" customWidth="1"/>
    <col min="9" max="9" width="17.5703125" customWidth="1"/>
    <col min="10" max="10" width="7.85546875" customWidth="1"/>
    <col min="11" max="11" width="7.140625" customWidth="1"/>
    <col min="12" max="12" width="7.85546875" customWidth="1"/>
    <col min="13" max="13" width="7.42578125" customWidth="1"/>
    <col min="14" max="16" width="7.85546875" customWidth="1"/>
    <col min="17" max="17" width="8.140625" customWidth="1"/>
    <col min="18" max="18" width="8.42578125" customWidth="1"/>
    <col min="27" max="28" width="8.8554687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13" t="s">
        <v>4643</v>
      </c>
      <c r="B2" s="4314"/>
      <c r="C2" s="4314"/>
      <c r="D2" s="4314"/>
      <c r="E2" s="4314"/>
      <c r="F2" s="4314"/>
      <c r="G2" s="4314"/>
      <c r="H2" s="4314"/>
      <c r="I2" s="4314"/>
      <c r="J2" s="4314"/>
      <c r="K2" s="4314"/>
      <c r="L2" s="4314"/>
      <c r="M2" s="4314"/>
      <c r="N2" s="4314"/>
      <c r="O2" s="4314"/>
      <c r="P2" s="4314"/>
      <c r="Q2" s="4314"/>
      <c r="R2" s="4315"/>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4644</v>
      </c>
      <c r="B4" s="137"/>
      <c r="C4" s="137"/>
      <c r="D4" s="95"/>
      <c r="E4" s="95"/>
      <c r="F4" s="137" t="s">
        <v>4645</v>
      </c>
      <c r="G4" s="137"/>
      <c r="H4" s="95"/>
      <c r="I4" s="95"/>
      <c r="J4" s="137" t="s">
        <v>4646</v>
      </c>
      <c r="K4" s="137"/>
      <c r="L4" s="137"/>
      <c r="M4" s="137"/>
      <c r="N4" s="137"/>
      <c r="O4" s="137"/>
      <c r="P4" s="95"/>
      <c r="Q4" s="99" t="s">
        <v>4647</v>
      </c>
      <c r="R4" s="99" t="s">
        <v>4648</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1.1"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1.1" customHeight="1">
      <c r="A7" s="141" t="s">
        <v>4649</v>
      </c>
      <c r="B7" s="137"/>
      <c r="C7" s="98"/>
      <c r="D7" s="98"/>
      <c r="E7" s="95"/>
      <c r="F7" s="98" t="s">
        <v>4650</v>
      </c>
      <c r="G7" s="98"/>
      <c r="H7" s="95"/>
      <c r="I7" s="95"/>
      <c r="J7" s="98" t="s">
        <v>4651</v>
      </c>
      <c r="K7" s="98"/>
      <c r="L7" s="98" t="s">
        <v>4652</v>
      </c>
      <c r="M7" s="98"/>
      <c r="N7" s="98"/>
      <c r="O7" s="98"/>
      <c r="P7" s="95"/>
      <c r="Q7" s="2871">
        <v>0</v>
      </c>
      <c r="R7" s="2872">
        <v>4</v>
      </c>
      <c r="S7" s="95"/>
      <c r="T7" s="95"/>
      <c r="U7" s="95"/>
      <c r="W7" s="140"/>
      <c r="X7" s="140"/>
      <c r="Y7" s="140"/>
      <c r="Z7" s="140"/>
      <c r="AA7" s="40"/>
      <c r="AB7" s="40"/>
    </row>
    <row r="8" spans="1:28" s="96" customFormat="1" ht="11.1"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85" customHeight="1">
      <c r="A9" s="141" t="s">
        <v>4653</v>
      </c>
      <c r="B9" s="98"/>
      <c r="C9" s="98"/>
      <c r="D9" s="95"/>
      <c r="E9" s="95"/>
      <c r="F9" s="98" t="s">
        <v>4650</v>
      </c>
      <c r="G9" s="98"/>
      <c r="H9" s="95"/>
      <c r="I9" s="95"/>
      <c r="J9" s="98" t="s">
        <v>4654</v>
      </c>
      <c r="K9" s="98"/>
      <c r="L9" s="98" t="s">
        <v>4655</v>
      </c>
      <c r="M9" s="98"/>
      <c r="N9" s="98"/>
      <c r="O9" s="98"/>
      <c r="P9" s="95"/>
      <c r="Q9" s="2871">
        <v>0</v>
      </c>
      <c r="R9" s="2872">
        <v>2</v>
      </c>
      <c r="S9" s="95"/>
      <c r="U9" s="95"/>
      <c r="V9" s="521"/>
      <c r="W9" s="521"/>
      <c r="X9" s="99"/>
      <c r="AA9" s="40"/>
      <c r="AB9" s="40"/>
    </row>
    <row r="10" spans="1:28" s="96" customFormat="1" ht="11.85" customHeight="1">
      <c r="A10" s="141"/>
      <c r="B10" s="98"/>
      <c r="C10" s="98"/>
      <c r="D10" s="95"/>
      <c r="E10" s="95"/>
      <c r="F10" s="98"/>
      <c r="G10" s="98"/>
      <c r="H10" s="95"/>
      <c r="I10" s="95"/>
      <c r="J10" s="98" t="s">
        <v>4656</v>
      </c>
      <c r="K10" s="98"/>
      <c r="L10" s="98" t="s">
        <v>4655</v>
      </c>
      <c r="M10" s="98"/>
      <c r="N10" s="98"/>
      <c r="O10" s="98"/>
      <c r="P10" s="95"/>
      <c r="Q10" s="2871">
        <v>0</v>
      </c>
      <c r="R10" s="2872">
        <v>1</v>
      </c>
      <c r="S10" s="95"/>
      <c r="U10" s="95"/>
      <c r="V10" s="521"/>
      <c r="W10" s="521"/>
      <c r="X10" s="99"/>
      <c r="AA10" s="40"/>
      <c r="AB10" s="40"/>
    </row>
    <row r="11" spans="1:28" s="96" customFormat="1" ht="11.85"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85" customHeight="1">
      <c r="A12" s="141"/>
      <c r="B12" s="98"/>
      <c r="C12" s="98"/>
      <c r="D12" s="95"/>
      <c r="E12" s="95"/>
      <c r="F12" s="98"/>
      <c r="G12" s="98"/>
      <c r="H12" s="95"/>
      <c r="I12" s="95"/>
      <c r="J12" s="98"/>
      <c r="K12" s="98"/>
      <c r="L12" s="98"/>
      <c r="M12" s="98"/>
      <c r="N12" s="98"/>
      <c r="O12" s="98"/>
      <c r="P12" s="98"/>
      <c r="Q12" s="1500" t="s">
        <v>4657</v>
      </c>
      <c r="R12" s="1500" t="s">
        <v>4658</v>
      </c>
      <c r="S12" s="98"/>
      <c r="U12" s="95"/>
      <c r="V12" s="521"/>
      <c r="W12" s="521"/>
      <c r="X12" s="99"/>
      <c r="AA12" s="40"/>
      <c r="AB12" s="40"/>
    </row>
    <row r="13" spans="1:28" s="96" customFormat="1" ht="11.85" customHeight="1">
      <c r="A13" s="141"/>
      <c r="B13" s="98"/>
      <c r="C13" s="98"/>
      <c r="D13" s="95"/>
      <c r="E13" s="95"/>
      <c r="F13" s="98" t="s">
        <v>4659</v>
      </c>
      <c r="G13" s="98"/>
      <c r="H13" s="95"/>
      <c r="I13" s="95"/>
      <c r="J13" s="98" t="s">
        <v>4660</v>
      </c>
      <c r="K13" s="98"/>
      <c r="L13" s="98" t="s">
        <v>1254</v>
      </c>
      <c r="M13" s="98"/>
      <c r="N13" s="98" t="s">
        <v>4661</v>
      </c>
      <c r="O13" s="98"/>
      <c r="P13" s="95"/>
      <c r="Q13" s="2872">
        <v>1300000</v>
      </c>
      <c r="R13" s="2872">
        <v>1350000</v>
      </c>
      <c r="S13" s="95"/>
      <c r="U13" s="95"/>
      <c r="V13" s="521"/>
      <c r="W13" s="521"/>
      <c r="X13" s="99"/>
      <c r="AA13" s="40"/>
      <c r="AB13" s="40"/>
    </row>
    <row r="14" spans="1:28" s="96" customFormat="1" ht="11.85" customHeight="1">
      <c r="A14" s="141"/>
      <c r="B14" s="98"/>
      <c r="C14" s="98"/>
      <c r="D14" s="95"/>
      <c r="E14" s="95"/>
      <c r="F14" s="98"/>
      <c r="G14" s="98"/>
      <c r="H14" s="95"/>
      <c r="I14" s="95"/>
      <c r="J14" s="98"/>
      <c r="K14" s="98"/>
      <c r="L14" s="98"/>
      <c r="M14" s="98"/>
      <c r="N14" s="98" t="s">
        <v>4662</v>
      </c>
      <c r="O14" s="98"/>
      <c r="P14" s="95"/>
      <c r="Q14" s="2872">
        <v>1170000</v>
      </c>
      <c r="R14" s="2872">
        <v>1215000</v>
      </c>
      <c r="S14" s="95"/>
      <c r="U14" s="95"/>
      <c r="V14" s="521"/>
      <c r="W14" s="521"/>
      <c r="X14" s="99"/>
      <c r="AA14" s="40"/>
      <c r="AB14" s="40"/>
    </row>
    <row r="15" spans="1:28" s="96" customFormat="1" ht="11.85" customHeight="1">
      <c r="A15" s="141"/>
      <c r="B15" s="98"/>
      <c r="C15" s="98"/>
      <c r="D15" s="95"/>
      <c r="E15" s="95"/>
      <c r="F15" s="98"/>
      <c r="G15" s="98"/>
      <c r="H15" s="95"/>
      <c r="I15" s="95"/>
      <c r="J15" s="98"/>
      <c r="K15" s="98"/>
      <c r="L15" s="98" t="s">
        <v>4663</v>
      </c>
      <c r="M15" s="98"/>
      <c r="N15" s="98"/>
      <c r="O15" s="98"/>
      <c r="P15" s="95"/>
      <c r="Q15" s="2872">
        <v>1225000</v>
      </c>
      <c r="R15" s="2872">
        <v>1270000</v>
      </c>
      <c r="S15" s="95"/>
      <c r="U15" s="95"/>
      <c r="V15" s="521"/>
      <c r="W15" s="521"/>
      <c r="X15" s="99"/>
      <c r="AA15" s="40"/>
      <c r="AB15" s="40"/>
    </row>
    <row r="16" spans="1:28" s="96" customFormat="1" ht="11.85" customHeight="1">
      <c r="A16" s="141"/>
      <c r="B16" s="98"/>
      <c r="C16" s="98"/>
      <c r="D16" s="95"/>
      <c r="E16" s="95"/>
      <c r="F16" s="98"/>
      <c r="G16" s="98"/>
      <c r="H16" s="95"/>
      <c r="I16" s="95"/>
      <c r="J16" s="98"/>
      <c r="K16" s="98"/>
      <c r="L16" s="98" t="s">
        <v>4664</v>
      </c>
      <c r="M16" s="98"/>
      <c r="N16" s="98"/>
      <c r="O16" s="98"/>
      <c r="P16" s="98"/>
      <c r="Q16" s="2872">
        <v>1105000</v>
      </c>
      <c r="R16" s="2872">
        <v>1145000</v>
      </c>
      <c r="S16" s="98"/>
      <c r="U16" s="95"/>
      <c r="V16" s="521"/>
      <c r="W16" s="521"/>
      <c r="X16" s="99"/>
      <c r="AA16" s="40"/>
      <c r="AB16" s="40"/>
    </row>
    <row r="17" spans="1:28" s="96" customFormat="1" ht="11.85" customHeight="1">
      <c r="A17" s="141"/>
      <c r="B17" s="98"/>
      <c r="C17" s="98"/>
      <c r="D17" s="95"/>
      <c r="E17" s="95"/>
      <c r="F17" s="98"/>
      <c r="G17" s="98"/>
      <c r="H17" s="95"/>
      <c r="I17" s="95"/>
      <c r="J17" s="98"/>
      <c r="K17" s="98"/>
      <c r="L17" s="98"/>
      <c r="M17" s="98"/>
      <c r="N17" s="98"/>
      <c r="O17" s="98"/>
      <c r="P17" s="98"/>
      <c r="Q17" s="99" t="s">
        <v>4647</v>
      </c>
      <c r="R17" s="99" t="s">
        <v>4648</v>
      </c>
      <c r="S17" s="98"/>
      <c r="U17" s="95"/>
      <c r="V17" s="521"/>
      <c r="W17" s="521"/>
      <c r="X17" s="99"/>
      <c r="AA17" s="40"/>
      <c r="AB17" s="40"/>
    </row>
    <row r="18" spans="1:28" s="96" customFormat="1" ht="11.85" customHeight="1">
      <c r="A18" s="141"/>
      <c r="B18" s="98"/>
      <c r="C18" s="98"/>
      <c r="D18" s="95"/>
      <c r="E18" s="95"/>
      <c r="F18" s="98"/>
      <c r="G18" s="98"/>
      <c r="H18" s="95"/>
      <c r="I18" s="95"/>
      <c r="J18" s="98" t="s">
        <v>4665</v>
      </c>
      <c r="K18" s="98"/>
      <c r="L18" s="98" t="s">
        <v>4666</v>
      </c>
      <c r="M18" s="98"/>
      <c r="N18" s="98"/>
      <c r="O18" s="98"/>
      <c r="P18" s="98"/>
      <c r="Q18" s="2872" t="s">
        <v>4667</v>
      </c>
      <c r="R18" s="2872">
        <v>40000000</v>
      </c>
      <c r="S18" s="95"/>
      <c r="U18" s="95"/>
      <c r="V18" s="521"/>
      <c r="W18" s="521"/>
      <c r="X18" s="99"/>
      <c r="AA18" s="40"/>
      <c r="AB18" s="40"/>
    </row>
    <row r="19" spans="1:28" s="96" customFormat="1" ht="11.85" customHeight="1">
      <c r="A19" s="141"/>
      <c r="B19" s="98"/>
      <c r="C19" s="98"/>
      <c r="D19" s="95"/>
      <c r="E19" s="95"/>
      <c r="F19" s="98"/>
      <c r="G19" s="98"/>
      <c r="H19" s="95"/>
      <c r="I19" s="95"/>
      <c r="J19" s="98"/>
      <c r="K19" s="98"/>
      <c r="L19" s="658" t="s">
        <v>4668</v>
      </c>
      <c r="M19" s="98"/>
      <c r="N19" s="98"/>
      <c r="O19" s="98"/>
      <c r="P19" s="98"/>
      <c r="Q19" s="98"/>
      <c r="R19" s="98"/>
      <c r="S19" s="95"/>
      <c r="U19" s="95"/>
      <c r="V19" s="521"/>
      <c r="W19" s="521"/>
      <c r="X19" s="99"/>
      <c r="AA19" s="40"/>
      <c r="AB19" s="40"/>
    </row>
    <row r="20" spans="1:28" s="96" customFormat="1" ht="11.85" customHeight="1">
      <c r="A20" s="98"/>
      <c r="B20" s="98"/>
      <c r="C20" s="98"/>
      <c r="D20" s="95"/>
      <c r="E20" s="95"/>
      <c r="L20" s="146" t="s">
        <v>4669</v>
      </c>
      <c r="O20" s="98"/>
      <c r="Q20" s="2873" t="s">
        <v>670</v>
      </c>
      <c r="R20" s="2874">
        <v>0.55000000000000004</v>
      </c>
      <c r="T20" s="142"/>
      <c r="U20" s="95"/>
      <c r="V20" s="222"/>
      <c r="W20" s="222"/>
      <c r="X20" s="222"/>
      <c r="AA20" s="40"/>
      <c r="AB20" s="40"/>
    </row>
    <row r="21" spans="1:28" s="96" customFormat="1" ht="11.4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45" hidden="1" customHeight="1">
      <c r="F22" s="98" t="s">
        <v>4670</v>
      </c>
      <c r="G22" s="98"/>
      <c r="H22" s="95"/>
      <c r="I22" s="95"/>
      <c r="J22" s="98" t="s">
        <v>4671</v>
      </c>
      <c r="K22" s="98"/>
      <c r="L22" s="98"/>
      <c r="M22" s="98"/>
      <c r="N22" s="98"/>
      <c r="O22" s="98"/>
      <c r="P22" s="95"/>
      <c r="Q22" s="2875">
        <v>1000000</v>
      </c>
      <c r="R22" s="2875">
        <v>2000000</v>
      </c>
      <c r="S22" s="142"/>
      <c r="T22" s="142"/>
      <c r="U22" s="95"/>
      <c r="V22" s="222"/>
      <c r="W22" s="222"/>
      <c r="X22" s="222"/>
      <c r="AA22" s="40"/>
      <c r="AB22" s="40"/>
    </row>
    <row r="23" spans="1:28" s="96" customFormat="1" ht="11.45" hidden="1" customHeight="1">
      <c r="F23" s="98"/>
      <c r="G23" s="98"/>
      <c r="H23" s="95"/>
      <c r="I23" s="95"/>
      <c r="J23" s="98" t="s">
        <v>4672</v>
      </c>
      <c r="K23" s="98"/>
      <c r="L23" s="98"/>
      <c r="M23" s="98"/>
      <c r="N23" s="98"/>
      <c r="O23" s="98"/>
      <c r="P23" s="95"/>
      <c r="Q23" s="2876" t="s">
        <v>2062</v>
      </c>
      <c r="R23" s="2877">
        <v>0.25</v>
      </c>
      <c r="S23" s="95"/>
      <c r="T23" s="95"/>
      <c r="U23" s="95"/>
      <c r="V23" s="521"/>
      <c r="W23" s="521"/>
      <c r="X23" s="99"/>
      <c r="AA23" s="40"/>
      <c r="AB23" s="40"/>
    </row>
    <row r="24" spans="1:28" s="96" customFormat="1" ht="11.25" hidden="1" customHeight="1">
      <c r="A24" s="98"/>
      <c r="B24" s="98"/>
      <c r="C24" s="98"/>
      <c r="D24" s="95"/>
      <c r="E24" s="95"/>
      <c r="F24" s="98" t="s">
        <v>4673</v>
      </c>
      <c r="G24" s="98"/>
      <c r="H24" s="95"/>
      <c r="I24" s="95"/>
      <c r="J24" s="315" t="s">
        <v>4674</v>
      </c>
      <c r="K24" s="2611"/>
      <c r="M24" s="2611"/>
      <c r="N24" s="2611"/>
      <c r="O24" s="98"/>
      <c r="Q24" s="4316" t="s">
        <v>4675</v>
      </c>
      <c r="R24" s="4317"/>
      <c r="S24" s="150"/>
      <c r="T24" s="95"/>
      <c r="U24" s="95"/>
      <c r="V24" s="222"/>
      <c r="W24" s="222"/>
      <c r="X24" s="222"/>
      <c r="AA24" s="40"/>
      <c r="AB24" s="40"/>
    </row>
    <row r="25" spans="1:28" s="96" customFormat="1" ht="11.25" hidden="1" customHeight="1">
      <c r="A25" s="98"/>
      <c r="B25" s="98"/>
      <c r="C25" s="98"/>
      <c r="D25" s="95"/>
      <c r="E25" s="95"/>
      <c r="F25" s="98" t="s">
        <v>4676</v>
      </c>
      <c r="G25" s="98"/>
      <c r="H25" s="95"/>
      <c r="I25" s="95"/>
      <c r="J25" s="315" t="s">
        <v>4677</v>
      </c>
      <c r="K25" s="2611"/>
      <c r="M25" s="2611"/>
      <c r="N25" s="2611"/>
      <c r="O25" s="98"/>
      <c r="Q25" s="4318">
        <v>0.1</v>
      </c>
      <c r="R25" s="4319"/>
      <c r="S25" s="150"/>
      <c r="T25" s="95"/>
      <c r="U25" s="95"/>
      <c r="V25" s="222"/>
      <c r="W25" s="222"/>
      <c r="X25" s="222"/>
      <c r="AA25" s="40"/>
      <c r="AB25" s="40"/>
    </row>
    <row r="26" spans="1:28" s="96" customFormat="1" ht="12.75" hidden="1" customHeight="1">
      <c r="A26" s="98"/>
      <c r="B26" s="98"/>
      <c r="C26" s="98"/>
      <c r="J26" s="1274" t="s">
        <v>1329</v>
      </c>
      <c r="K26" s="146"/>
      <c r="L26" s="146"/>
      <c r="N26" s="2611"/>
      <c r="O26" s="98"/>
      <c r="Q26" s="4320" t="s">
        <v>4678</v>
      </c>
      <c r="R26" s="4320"/>
      <c r="S26" s="95"/>
      <c r="T26" s="95"/>
      <c r="U26" s="95"/>
      <c r="AA26" s="40"/>
      <c r="AB26" s="40"/>
    </row>
    <row r="27" spans="1:28" s="96" customFormat="1" ht="12.75" hidden="1" customHeight="1">
      <c r="A27" s="98"/>
      <c r="B27" s="98"/>
      <c r="C27" s="98"/>
      <c r="K27" s="146" t="s">
        <v>4679</v>
      </c>
      <c r="L27" s="146"/>
      <c r="N27" s="2611"/>
      <c r="O27" s="98"/>
      <c r="P27" s="95"/>
      <c r="Q27" s="4321">
        <v>0.2</v>
      </c>
      <c r="R27" s="4322"/>
      <c r="S27" s="95"/>
      <c r="T27" s="95"/>
      <c r="U27" s="95"/>
      <c r="AA27" s="40"/>
      <c r="AB27" s="40"/>
    </row>
    <row r="28" spans="1:28" s="96" customFormat="1" ht="12.75" hidden="1" customHeight="1">
      <c r="A28" s="98"/>
      <c r="B28" s="98"/>
      <c r="C28" s="98"/>
      <c r="K28" s="146" t="s">
        <v>4680</v>
      </c>
      <c r="L28" s="146"/>
      <c r="N28" s="2611"/>
      <c r="O28" s="98"/>
      <c r="P28" s="95"/>
      <c r="Q28" s="4311">
        <v>0.15</v>
      </c>
      <c r="R28" s="4312"/>
      <c r="S28" s="95"/>
      <c r="T28" s="95"/>
      <c r="U28" s="95"/>
      <c r="AA28" s="40"/>
      <c r="AB28" s="40"/>
    </row>
    <row r="29" spans="1:28" s="96" customFormat="1" ht="12.75" hidden="1" customHeight="1">
      <c r="A29" s="98"/>
      <c r="B29" s="98"/>
      <c r="C29" s="98"/>
      <c r="K29" s="146" t="s">
        <v>4681</v>
      </c>
      <c r="L29" s="146"/>
      <c r="N29" s="2611"/>
      <c r="O29" s="98"/>
      <c r="P29" s="95"/>
      <c r="Q29" s="4311">
        <v>0.15</v>
      </c>
      <c r="R29" s="4312"/>
      <c r="S29" s="95"/>
      <c r="T29" s="95"/>
      <c r="U29" s="95"/>
      <c r="AA29" s="40"/>
      <c r="AB29" s="40"/>
    </row>
    <row r="30" spans="1:28" s="96" customFormat="1" ht="12.75" hidden="1" customHeight="1">
      <c r="A30" s="98"/>
      <c r="B30" s="98"/>
      <c r="C30" s="98"/>
      <c r="K30" s="146" t="s">
        <v>4682</v>
      </c>
      <c r="L30" s="146"/>
      <c r="N30" s="2611"/>
      <c r="O30" s="98"/>
      <c r="P30" s="95"/>
      <c r="Q30" s="4311">
        <v>0.1</v>
      </c>
      <c r="R30" s="4312"/>
      <c r="S30" s="95"/>
      <c r="T30" s="95"/>
      <c r="U30" s="95"/>
      <c r="AA30" s="40"/>
      <c r="AB30" s="40"/>
    </row>
    <row r="31" spans="1:28" s="96" customFormat="1" ht="12.75" hidden="1" customHeight="1">
      <c r="A31" s="98"/>
      <c r="B31" s="98"/>
      <c r="C31" s="98"/>
      <c r="K31" s="146" t="s">
        <v>4683</v>
      </c>
      <c r="L31" s="146"/>
      <c r="N31" s="2611"/>
      <c r="O31" s="98"/>
      <c r="P31" s="95"/>
      <c r="Q31" s="4325">
        <v>0.1</v>
      </c>
      <c r="R31" s="4326"/>
      <c r="S31" s="95"/>
      <c r="T31" s="95"/>
      <c r="U31" s="95"/>
      <c r="AA31" s="40"/>
      <c r="AB31" s="40"/>
    </row>
    <row r="32" spans="1:28" s="96" customFormat="1" ht="11.85" customHeight="1">
      <c r="A32" s="98"/>
      <c r="B32" s="98"/>
      <c r="C32" s="98"/>
      <c r="D32" s="95"/>
      <c r="E32" s="95"/>
      <c r="O32" s="98"/>
      <c r="T32" s="142"/>
      <c r="U32" s="95"/>
      <c r="V32" s="222"/>
      <c r="W32" s="222"/>
      <c r="X32" s="222"/>
      <c r="AA32" s="40"/>
      <c r="AB32" s="40"/>
    </row>
    <row r="33" spans="1:28" s="96" customFormat="1" ht="11.85" customHeight="1">
      <c r="A33" s="137" t="s">
        <v>4644</v>
      </c>
      <c r="B33" s="137"/>
      <c r="C33" s="137"/>
      <c r="D33" s="95"/>
      <c r="E33" s="95"/>
      <c r="F33" s="137" t="s">
        <v>4645</v>
      </c>
      <c r="G33" s="137"/>
      <c r="H33" s="95"/>
      <c r="I33" s="95"/>
      <c r="J33" s="137" t="s">
        <v>4646</v>
      </c>
      <c r="K33" s="137"/>
      <c r="L33" s="137"/>
      <c r="M33" s="137"/>
      <c r="N33" s="137"/>
      <c r="O33" s="137"/>
      <c r="P33" s="95"/>
      <c r="Q33" s="99" t="s">
        <v>4647</v>
      </c>
      <c r="R33" s="99" t="s">
        <v>4648</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4684</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85" customHeight="1">
      <c r="A36" s="95"/>
      <c r="B36" s="98" t="s">
        <v>4684</v>
      </c>
      <c r="C36" s="98"/>
      <c r="D36" s="95"/>
      <c r="E36" s="95"/>
      <c r="F36" s="98" t="s">
        <v>4685</v>
      </c>
      <c r="G36" s="98" t="s">
        <v>4686</v>
      </c>
      <c r="H36" s="95"/>
      <c r="I36" s="95"/>
      <c r="J36" s="98" t="s">
        <v>679</v>
      </c>
      <c r="K36" s="98"/>
      <c r="L36" s="98"/>
      <c r="M36" s="98"/>
      <c r="N36" s="98"/>
      <c r="O36" s="98"/>
      <c r="P36" s="95"/>
      <c r="Q36" s="2878">
        <v>5000</v>
      </c>
      <c r="R36" s="2879" t="s">
        <v>2062</v>
      </c>
      <c r="S36" s="146"/>
      <c r="AA36" s="40"/>
      <c r="AB36" s="40"/>
    </row>
    <row r="37" spans="1:28" s="96" customFormat="1" ht="11.85" customHeight="1">
      <c r="A37" s="95"/>
      <c r="B37" s="98"/>
      <c r="C37" s="98"/>
      <c r="D37" s="95"/>
      <c r="E37" s="95"/>
      <c r="F37" s="98"/>
      <c r="G37" s="98" t="s">
        <v>4687</v>
      </c>
      <c r="H37" s="95"/>
      <c r="I37" s="95"/>
      <c r="J37" s="98" t="s">
        <v>679</v>
      </c>
      <c r="K37" s="98"/>
      <c r="L37" s="98"/>
      <c r="M37" s="98"/>
      <c r="N37" s="98"/>
      <c r="O37" s="98"/>
      <c r="P37" s="95"/>
      <c r="Q37" s="1493">
        <v>4500</v>
      </c>
      <c r="R37" s="1492" t="s">
        <v>2062</v>
      </c>
      <c r="S37" s="146"/>
      <c r="AA37" s="40"/>
      <c r="AB37" s="40"/>
    </row>
    <row r="38" spans="1:28" s="96" customFormat="1" ht="11.85" customHeight="1">
      <c r="A38" s="95"/>
      <c r="B38" s="98"/>
      <c r="C38" s="98"/>
      <c r="D38" s="95"/>
      <c r="E38" s="95"/>
      <c r="F38" s="98" t="s">
        <v>4688</v>
      </c>
      <c r="G38" s="98" t="s">
        <v>4689</v>
      </c>
      <c r="H38" s="95"/>
      <c r="I38" s="95"/>
      <c r="J38" s="98" t="s">
        <v>679</v>
      </c>
      <c r="K38" s="98"/>
      <c r="L38" s="98"/>
      <c r="M38" s="98"/>
      <c r="N38" s="98"/>
      <c r="O38" s="98"/>
      <c r="P38" s="95"/>
      <c r="Q38" s="2878">
        <v>3750</v>
      </c>
      <c r="R38" s="2879" t="s">
        <v>2062</v>
      </c>
      <c r="S38" s="146"/>
      <c r="AA38" s="40"/>
      <c r="AB38" s="40"/>
    </row>
    <row r="39" spans="1:28" s="96" customFormat="1" ht="11.85" customHeight="1">
      <c r="A39" s="98"/>
      <c r="B39" s="98"/>
      <c r="C39" s="98"/>
      <c r="D39" s="95"/>
      <c r="E39" s="95"/>
      <c r="G39" s="98" t="s">
        <v>4690</v>
      </c>
      <c r="H39" s="95"/>
      <c r="I39" s="95"/>
      <c r="J39" s="98" t="s">
        <v>679</v>
      </c>
      <c r="K39" s="98"/>
      <c r="L39" s="98"/>
      <c r="M39" s="98"/>
      <c r="N39" s="98"/>
      <c r="O39" s="98"/>
      <c r="P39" s="95"/>
      <c r="Q39" s="1494">
        <v>3250</v>
      </c>
      <c r="R39" s="1495" t="s">
        <v>2062</v>
      </c>
      <c r="S39" s="146"/>
      <c r="AA39" s="40"/>
      <c r="AB39" s="40"/>
    </row>
    <row r="40" spans="1:28" s="96" customFormat="1" ht="11.85" customHeight="1">
      <c r="A40" s="98"/>
      <c r="B40" s="98"/>
      <c r="C40" s="98"/>
      <c r="D40" s="95"/>
      <c r="E40" s="95"/>
      <c r="G40" s="98" t="s">
        <v>4691</v>
      </c>
      <c r="H40" s="95"/>
      <c r="I40" s="95"/>
      <c r="J40" s="98" t="s">
        <v>679</v>
      </c>
      <c r="K40" s="98"/>
      <c r="L40" s="98"/>
      <c r="M40" s="98"/>
      <c r="N40" s="98"/>
      <c r="O40" s="98"/>
      <c r="P40" s="95"/>
      <c r="Q40" s="1493" t="s">
        <v>4692</v>
      </c>
      <c r="R40" s="1492" t="s">
        <v>2062</v>
      </c>
      <c r="S40" s="146"/>
      <c r="T40" s="146"/>
      <c r="U40" s="146"/>
      <c r="AA40" s="40"/>
      <c r="AB40" s="40"/>
    </row>
    <row r="41" spans="1:28" s="96" customFormat="1" ht="11.85" customHeight="1">
      <c r="A41" s="98"/>
      <c r="B41" s="98" t="s">
        <v>4693</v>
      </c>
      <c r="C41" s="98"/>
      <c r="D41" s="95"/>
      <c r="E41" s="95"/>
      <c r="F41" s="98" t="s">
        <v>4694</v>
      </c>
      <c r="G41" s="98"/>
      <c r="H41" s="95"/>
      <c r="I41" s="95"/>
      <c r="J41" s="98" t="s">
        <v>679</v>
      </c>
      <c r="K41" s="98"/>
      <c r="L41" s="98"/>
      <c r="M41" s="98"/>
      <c r="N41" s="98"/>
      <c r="O41" s="98"/>
      <c r="P41" s="95"/>
      <c r="Q41" s="2878">
        <v>400</v>
      </c>
      <c r="R41" s="2879" t="s">
        <v>2062</v>
      </c>
      <c r="S41" s="146"/>
      <c r="T41" s="146"/>
      <c r="U41" s="146"/>
      <c r="AA41" s="40"/>
      <c r="AB41" s="40"/>
    </row>
    <row r="42" spans="1:28" s="96" customFormat="1" ht="11.85" customHeight="1">
      <c r="A42" s="98"/>
      <c r="B42" s="98"/>
      <c r="C42" s="98"/>
      <c r="D42" s="95"/>
      <c r="E42" s="95"/>
      <c r="F42" s="98" t="s">
        <v>2158</v>
      </c>
      <c r="G42" s="98"/>
      <c r="H42" s="95"/>
      <c r="I42" s="95"/>
      <c r="J42" s="98" t="s">
        <v>679</v>
      </c>
      <c r="K42" s="98"/>
      <c r="L42" s="98"/>
      <c r="M42" s="98"/>
      <c r="N42" s="98"/>
      <c r="O42" s="98"/>
      <c r="P42" s="95"/>
      <c r="Q42" s="1494">
        <v>300</v>
      </c>
      <c r="R42" s="1495" t="s">
        <v>2062</v>
      </c>
      <c r="S42" s="146"/>
      <c r="T42" s="146"/>
      <c r="U42" s="146"/>
      <c r="AA42" s="40"/>
      <c r="AB42" s="40"/>
    </row>
    <row r="43" spans="1:28" s="96" customFormat="1" ht="11.85" customHeight="1">
      <c r="A43" s="98"/>
      <c r="B43" s="98"/>
      <c r="C43" s="98"/>
      <c r="D43" s="98"/>
      <c r="E43" s="95"/>
      <c r="F43" s="98" t="s">
        <v>4695</v>
      </c>
      <c r="G43" s="98"/>
      <c r="H43" s="95"/>
      <c r="I43" s="95"/>
      <c r="J43" s="98" t="s">
        <v>679</v>
      </c>
      <c r="K43" s="98"/>
      <c r="L43" s="98"/>
      <c r="M43" s="98"/>
      <c r="N43" s="98"/>
      <c r="O43" s="98"/>
      <c r="P43" s="95"/>
      <c r="Q43" s="1494">
        <v>470</v>
      </c>
      <c r="R43" s="1495" t="s">
        <v>2062</v>
      </c>
      <c r="S43" s="146"/>
      <c r="T43" s="146"/>
      <c r="U43" s="146"/>
      <c r="AA43" s="40"/>
      <c r="AB43" s="40"/>
    </row>
    <row r="44" spans="1:28" s="96" customFormat="1" ht="11.85" customHeight="1">
      <c r="A44" s="98"/>
      <c r="B44" s="98"/>
      <c r="C44" s="98"/>
      <c r="D44" s="98"/>
      <c r="E44" s="95"/>
      <c r="F44" s="98" t="s">
        <v>4696</v>
      </c>
      <c r="G44" s="98"/>
      <c r="H44" s="95"/>
      <c r="I44" s="95"/>
      <c r="J44" s="98" t="s">
        <v>679</v>
      </c>
      <c r="K44" s="98"/>
      <c r="L44" s="98"/>
      <c r="M44" s="98"/>
      <c r="N44" s="98"/>
      <c r="O44" s="98"/>
      <c r="P44" s="95"/>
      <c r="Q44" s="1493">
        <v>420</v>
      </c>
      <c r="R44" s="1492" t="s">
        <v>2062</v>
      </c>
      <c r="S44" s="146"/>
      <c r="T44" s="146"/>
      <c r="U44" s="146"/>
      <c r="AA44" s="40"/>
      <c r="AB44" s="40"/>
    </row>
    <row r="45" spans="1:28" s="96" customFormat="1" ht="11.4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4697</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85" customHeight="1">
      <c r="A47" s="98"/>
      <c r="B47" s="98" t="s">
        <v>4698</v>
      </c>
      <c r="C47" s="98"/>
      <c r="D47" s="95"/>
      <c r="E47" s="95"/>
      <c r="F47" s="98" t="s">
        <v>4694</v>
      </c>
      <c r="G47" s="98"/>
      <c r="H47" s="95"/>
      <c r="I47" s="95"/>
      <c r="J47" s="98" t="s">
        <v>4699</v>
      </c>
      <c r="K47" s="98"/>
      <c r="L47" s="98"/>
      <c r="M47" s="98"/>
      <c r="N47" s="98"/>
      <c r="O47" s="98"/>
      <c r="P47" s="95"/>
      <c r="Q47" s="2872">
        <v>35000</v>
      </c>
      <c r="R47" s="2871" t="s">
        <v>4700</v>
      </c>
      <c r="S47" s="146"/>
      <c r="T47" s="146"/>
      <c r="U47" s="146"/>
      <c r="AA47" s="40"/>
      <c r="AB47" s="40"/>
    </row>
    <row r="48" spans="1:28" s="96" customFormat="1" ht="11.85" customHeight="1">
      <c r="A48" s="98"/>
      <c r="B48" s="98"/>
      <c r="C48" s="98"/>
      <c r="D48" s="95"/>
      <c r="E48" s="95"/>
      <c r="F48" s="98" t="s">
        <v>4701</v>
      </c>
      <c r="G48" s="98"/>
      <c r="H48" s="95"/>
      <c r="I48" s="95"/>
      <c r="J48" s="98" t="s">
        <v>4702</v>
      </c>
      <c r="K48" s="98"/>
      <c r="L48" s="98"/>
      <c r="M48" s="98"/>
      <c r="N48" s="98"/>
      <c r="O48" s="98"/>
      <c r="P48" s="95"/>
      <c r="Q48" s="2873" t="s">
        <v>2062</v>
      </c>
      <c r="R48" s="2872">
        <v>1250000</v>
      </c>
      <c r="S48" s="146"/>
      <c r="T48" s="146"/>
      <c r="U48" s="146"/>
      <c r="AA48" s="40"/>
      <c r="AB48" s="40"/>
    </row>
    <row r="49" spans="1:28" s="96" customFormat="1" ht="11.85" customHeight="1">
      <c r="A49" s="98"/>
      <c r="B49" s="98" t="s">
        <v>575</v>
      </c>
      <c r="C49" s="98"/>
      <c r="D49" s="95"/>
      <c r="E49" s="95"/>
      <c r="F49" s="98" t="s">
        <v>2158</v>
      </c>
      <c r="G49" s="98"/>
      <c r="H49" s="95"/>
      <c r="I49" s="95"/>
      <c r="J49" s="98" t="s">
        <v>4703</v>
      </c>
      <c r="K49" s="98"/>
      <c r="L49" s="98"/>
      <c r="M49" s="98"/>
      <c r="N49" s="98"/>
      <c r="O49" s="98"/>
      <c r="P49" s="95"/>
      <c r="Q49" s="2880" t="s">
        <v>2062</v>
      </c>
      <c r="R49" s="2881">
        <v>0.05</v>
      </c>
      <c r="S49" s="146"/>
      <c r="T49" s="146"/>
      <c r="U49" s="146"/>
      <c r="AA49" s="40"/>
      <c r="AB49" s="40"/>
    </row>
    <row r="50" spans="1:28" s="96" customFormat="1" ht="11.85" customHeight="1">
      <c r="A50" s="98"/>
      <c r="B50" s="98"/>
      <c r="C50" s="98"/>
      <c r="D50" s="95"/>
      <c r="E50" s="95"/>
      <c r="F50" s="98" t="s">
        <v>4694</v>
      </c>
      <c r="G50" s="98"/>
      <c r="H50" s="95"/>
      <c r="I50" s="95"/>
      <c r="J50" s="98" t="s">
        <v>4703</v>
      </c>
      <c r="K50" s="98"/>
      <c r="L50" s="98"/>
      <c r="M50" s="98"/>
      <c r="N50" s="98"/>
      <c r="O50" s="98"/>
      <c r="P50" s="95"/>
      <c r="Q50" s="2582" t="s">
        <v>2062</v>
      </c>
      <c r="R50" s="2584">
        <v>0.1</v>
      </c>
      <c r="S50" s="146"/>
      <c r="T50" s="146"/>
      <c r="U50" s="146"/>
      <c r="AA50" s="40"/>
      <c r="AB50" s="40"/>
    </row>
    <row r="51" spans="1:28" s="96" customFormat="1" ht="11.85" customHeight="1">
      <c r="A51" s="98"/>
      <c r="B51" s="98"/>
      <c r="C51" s="98"/>
      <c r="D51" s="95"/>
      <c r="E51" s="95"/>
      <c r="F51" s="98" t="s">
        <v>4704</v>
      </c>
      <c r="G51" s="98"/>
      <c r="H51" s="95"/>
      <c r="I51" s="95"/>
      <c r="J51" s="98" t="s">
        <v>4703</v>
      </c>
      <c r="K51" s="98"/>
      <c r="L51" s="98"/>
      <c r="M51" s="98"/>
      <c r="N51" s="98"/>
      <c r="O51" s="98"/>
      <c r="P51" s="95"/>
      <c r="Q51" s="2583">
        <v>0.03</v>
      </c>
      <c r="R51" s="2583" t="s">
        <v>2062</v>
      </c>
      <c r="S51" s="146"/>
      <c r="T51" s="146"/>
      <c r="U51" s="146"/>
      <c r="AA51" s="40"/>
      <c r="AB51" s="40"/>
    </row>
    <row r="52" spans="1:28" s="96" customFormat="1" ht="11.85" customHeight="1">
      <c r="A52" s="98"/>
      <c r="B52" s="98" t="s">
        <v>4705</v>
      </c>
      <c r="C52" s="98"/>
      <c r="D52" s="95"/>
      <c r="E52" s="95"/>
      <c r="F52" s="98" t="s">
        <v>2062</v>
      </c>
      <c r="G52" s="98"/>
      <c r="H52" s="95"/>
      <c r="I52" s="95"/>
      <c r="J52" s="98" t="s">
        <v>4706</v>
      </c>
      <c r="K52" s="98"/>
      <c r="L52" s="98"/>
      <c r="M52" s="98"/>
      <c r="N52" s="98"/>
      <c r="O52" s="98"/>
      <c r="P52" s="95"/>
      <c r="Q52" s="2871" t="s">
        <v>2062</v>
      </c>
      <c r="R52" s="2874">
        <v>0.06</v>
      </c>
      <c r="S52" s="146"/>
      <c r="T52" s="146"/>
      <c r="U52" s="146"/>
      <c r="AA52" s="40"/>
      <c r="AB52" s="40"/>
    </row>
    <row r="53" spans="1:28" s="96" customFormat="1" ht="11.85" customHeight="1">
      <c r="A53" s="98"/>
      <c r="B53" s="98" t="s">
        <v>4707</v>
      </c>
      <c r="C53" s="98"/>
      <c r="D53" s="95"/>
      <c r="E53" s="95"/>
      <c r="F53" s="98" t="s">
        <v>2062</v>
      </c>
      <c r="G53" s="98"/>
      <c r="H53" s="95"/>
      <c r="I53" s="95"/>
      <c r="J53" s="98" t="s">
        <v>4706</v>
      </c>
      <c r="K53" s="98"/>
      <c r="L53" s="98"/>
      <c r="M53" s="98"/>
      <c r="N53" s="98"/>
      <c r="O53" s="98"/>
      <c r="P53" s="95"/>
      <c r="Q53" s="2871" t="s">
        <v>2062</v>
      </c>
      <c r="R53" s="2874">
        <v>0.02</v>
      </c>
      <c r="S53" s="146"/>
      <c r="T53" s="146"/>
      <c r="U53" s="146"/>
      <c r="AA53" s="40"/>
      <c r="AB53" s="40"/>
    </row>
    <row r="54" spans="1:28" s="96" customFormat="1" ht="11.85" customHeight="1">
      <c r="A54" s="98"/>
      <c r="B54" s="98" t="s">
        <v>4708</v>
      </c>
      <c r="C54" s="98"/>
      <c r="D54" s="95"/>
      <c r="E54" s="95"/>
      <c r="F54" s="98" t="s">
        <v>2062</v>
      </c>
      <c r="G54" s="98"/>
      <c r="H54" s="95"/>
      <c r="I54" s="95"/>
      <c r="J54" s="98" t="s">
        <v>4706</v>
      </c>
      <c r="K54" s="98"/>
      <c r="L54" s="98"/>
      <c r="M54" s="98"/>
      <c r="N54" s="98"/>
      <c r="O54" s="98"/>
      <c r="P54" s="95"/>
      <c r="Q54" s="2871" t="s">
        <v>2062</v>
      </c>
      <c r="R54" s="2874">
        <v>0.06</v>
      </c>
      <c r="S54" s="146"/>
      <c r="T54" s="146"/>
      <c r="U54" s="146"/>
      <c r="AA54" s="40"/>
      <c r="AB54" s="40"/>
    </row>
    <row r="55" spans="1:28" s="96" customFormat="1" ht="11.85" customHeight="1">
      <c r="A55" s="98"/>
      <c r="B55" s="98" t="s">
        <v>1306</v>
      </c>
      <c r="C55" s="98"/>
      <c r="D55" s="95"/>
      <c r="E55" s="95"/>
      <c r="F55" s="98" t="s">
        <v>598</v>
      </c>
      <c r="G55" s="98"/>
      <c r="H55" s="95"/>
      <c r="I55" s="95"/>
      <c r="J55" s="98"/>
      <c r="K55" s="98"/>
      <c r="L55" s="98"/>
      <c r="M55" s="98"/>
      <c r="N55" s="98"/>
      <c r="O55" s="98"/>
      <c r="P55" s="95"/>
      <c r="Q55" s="2882" t="s">
        <v>2062</v>
      </c>
      <c r="R55" s="2875"/>
      <c r="S55" s="146"/>
      <c r="T55" s="146"/>
      <c r="U55" s="146"/>
      <c r="AA55" s="40"/>
      <c r="AB55" s="40"/>
    </row>
    <row r="56" spans="1:28" s="96" customFormat="1" ht="11.85" customHeight="1">
      <c r="A56" s="95"/>
      <c r="B56" s="146" t="s">
        <v>4709</v>
      </c>
      <c r="C56" s="98"/>
      <c r="D56" s="98"/>
      <c r="E56" s="95"/>
      <c r="F56" s="98"/>
      <c r="G56" s="98"/>
      <c r="H56" s="95"/>
      <c r="I56" s="95"/>
      <c r="J56" s="98"/>
      <c r="K56" s="98"/>
      <c r="L56" s="98"/>
      <c r="M56" s="98"/>
      <c r="N56" s="98"/>
      <c r="O56" s="98"/>
      <c r="P56" s="95"/>
      <c r="S56" s="146"/>
      <c r="T56" s="146"/>
      <c r="U56" s="146"/>
      <c r="AA56" s="40"/>
      <c r="AB56" s="40"/>
    </row>
    <row r="57" spans="1:28" s="96" customFormat="1" ht="11.85" customHeight="1">
      <c r="A57" s="98"/>
      <c r="B57" s="98"/>
      <c r="C57" s="146" t="s">
        <v>4710</v>
      </c>
      <c r="D57" s="98"/>
      <c r="E57" s="95"/>
      <c r="F57" s="146" t="s">
        <v>4711</v>
      </c>
      <c r="G57" s="98"/>
      <c r="H57" s="95"/>
      <c r="I57" s="95"/>
      <c r="K57" s="98"/>
      <c r="L57" s="98"/>
      <c r="M57" s="98"/>
      <c r="N57" s="98"/>
      <c r="O57" s="98"/>
      <c r="P57" s="95"/>
      <c r="Q57" s="4327">
        <v>2000</v>
      </c>
      <c r="R57" s="4328"/>
      <c r="S57" s="146"/>
      <c r="T57" s="146"/>
      <c r="U57" s="146"/>
      <c r="AA57" s="40"/>
      <c r="AB57" s="40"/>
    </row>
    <row r="58" spans="1:28" s="96" customFormat="1" ht="11.85" customHeight="1">
      <c r="A58" s="98"/>
      <c r="B58" s="98"/>
      <c r="C58" s="146" t="s">
        <v>4712</v>
      </c>
      <c r="D58" s="98"/>
      <c r="E58" s="95"/>
      <c r="F58" s="98" t="s">
        <v>4713</v>
      </c>
      <c r="G58" s="98"/>
      <c r="H58" s="95"/>
      <c r="I58" s="95"/>
      <c r="J58" s="98" t="s">
        <v>4714</v>
      </c>
      <c r="K58" s="98"/>
      <c r="L58" s="98"/>
      <c r="M58" s="98" t="s">
        <v>4715</v>
      </c>
      <c r="N58" s="98"/>
      <c r="O58" s="98"/>
      <c r="P58" s="95"/>
      <c r="Q58" s="4329">
        <v>10000</v>
      </c>
      <c r="R58" s="4330"/>
      <c r="S58" s="146"/>
      <c r="T58" s="146"/>
      <c r="U58" s="146"/>
      <c r="AA58" s="40"/>
      <c r="AB58" s="40"/>
    </row>
    <row r="59" spans="1:28" s="96" customFormat="1" ht="11.85" customHeight="1">
      <c r="A59" s="98"/>
      <c r="B59" s="98"/>
      <c r="C59" s="98"/>
      <c r="D59" s="98"/>
      <c r="E59" s="95"/>
      <c r="F59" s="98"/>
      <c r="G59" s="98"/>
      <c r="H59" s="95"/>
      <c r="I59" s="95"/>
      <c r="K59" s="98"/>
      <c r="L59" s="98"/>
      <c r="M59" s="98" t="s">
        <v>4716</v>
      </c>
      <c r="N59" s="98"/>
      <c r="O59" s="98"/>
      <c r="P59" s="95"/>
      <c r="Q59" s="4323">
        <v>8000</v>
      </c>
      <c r="R59" s="4324"/>
      <c r="S59" s="146"/>
      <c r="T59" s="146"/>
      <c r="U59" s="146"/>
      <c r="AA59" s="40"/>
      <c r="AB59" s="40"/>
    </row>
    <row r="60" spans="1:28" s="96" customFormat="1" ht="11.85" customHeight="1">
      <c r="A60" s="98"/>
      <c r="B60" s="98"/>
      <c r="C60" s="98"/>
      <c r="D60" s="98"/>
      <c r="E60" s="95"/>
      <c r="G60" s="98"/>
      <c r="H60" s="95"/>
      <c r="I60" s="95"/>
      <c r="J60" s="146" t="s">
        <v>4717</v>
      </c>
      <c r="K60" s="98"/>
      <c r="L60" s="98"/>
      <c r="M60" s="98" t="s">
        <v>4715</v>
      </c>
      <c r="N60" s="98"/>
      <c r="O60" s="98"/>
      <c r="P60" s="95"/>
      <c r="Q60" s="4323">
        <v>10000</v>
      </c>
      <c r="R60" s="4324"/>
      <c r="S60" s="146"/>
      <c r="T60" s="146"/>
      <c r="U60" s="146"/>
      <c r="AA60" s="40"/>
      <c r="AB60" s="40"/>
    </row>
    <row r="61" spans="1:28" s="96" customFormat="1" ht="11.85" customHeight="1">
      <c r="A61" s="98"/>
      <c r="B61" s="98"/>
      <c r="C61" s="98"/>
      <c r="D61" s="98"/>
      <c r="E61" s="95"/>
      <c r="H61" s="95"/>
      <c r="I61" s="95"/>
      <c r="J61" s="98"/>
      <c r="K61" s="98"/>
      <c r="L61" s="98"/>
      <c r="M61" s="98" t="s">
        <v>4716</v>
      </c>
      <c r="N61" s="98"/>
      <c r="O61" s="98"/>
      <c r="P61" s="95"/>
      <c r="Q61" s="4331">
        <v>8000</v>
      </c>
      <c r="R61" s="4332"/>
      <c r="S61" s="146"/>
      <c r="T61" s="146"/>
      <c r="U61" s="146"/>
      <c r="AA61" s="40"/>
      <c r="AB61" s="40"/>
    </row>
    <row r="62" spans="1:28" s="96" customFormat="1" ht="11.85" customHeight="1">
      <c r="A62" s="98"/>
      <c r="B62" s="98"/>
      <c r="C62" s="98" t="s">
        <v>4718</v>
      </c>
      <c r="D62" s="98"/>
      <c r="E62" s="95"/>
      <c r="F62" s="98" t="s">
        <v>4719</v>
      </c>
      <c r="G62" s="98"/>
      <c r="H62" s="95"/>
      <c r="I62" s="95"/>
      <c r="K62" s="98"/>
      <c r="L62" s="98"/>
      <c r="M62" s="98"/>
      <c r="N62" s="98"/>
      <c r="O62" s="98"/>
      <c r="P62" s="95"/>
      <c r="Q62" s="4329">
        <v>2500</v>
      </c>
      <c r="R62" s="4330"/>
      <c r="S62" s="146"/>
      <c r="T62" s="146"/>
      <c r="U62" s="146"/>
      <c r="AA62" s="40"/>
      <c r="AB62" s="40"/>
    </row>
    <row r="63" spans="1:28" s="96" customFormat="1" ht="11.85" customHeight="1">
      <c r="A63" s="98"/>
      <c r="B63" s="98"/>
      <c r="C63" s="98"/>
      <c r="D63" s="98"/>
      <c r="E63" s="95"/>
      <c r="F63" s="98" t="s">
        <v>4720</v>
      </c>
      <c r="G63" s="98"/>
      <c r="H63" s="95"/>
      <c r="I63" s="95"/>
      <c r="K63" s="98"/>
      <c r="L63" s="98"/>
      <c r="M63" s="98"/>
      <c r="N63" s="98"/>
      <c r="O63" s="98"/>
      <c r="P63" s="95"/>
      <c r="Q63" s="4323">
        <v>2500</v>
      </c>
      <c r="R63" s="4324"/>
      <c r="S63" s="146"/>
      <c r="T63" s="146"/>
      <c r="U63" s="146"/>
      <c r="AA63" s="40"/>
      <c r="AB63" s="40"/>
    </row>
    <row r="64" spans="1:28" s="96" customFormat="1" ht="11.85" customHeight="1">
      <c r="A64" s="98"/>
      <c r="B64" s="98"/>
      <c r="C64" s="98"/>
      <c r="D64" s="98"/>
      <c r="E64" s="95"/>
      <c r="F64" s="146" t="s">
        <v>4721</v>
      </c>
      <c r="G64" s="98"/>
      <c r="H64" s="95"/>
      <c r="I64" s="95"/>
      <c r="Q64" s="4323">
        <v>1500</v>
      </c>
      <c r="R64" s="4324"/>
      <c r="S64" s="146"/>
      <c r="T64" s="146"/>
      <c r="U64" s="146"/>
      <c r="AA64" s="40"/>
      <c r="AB64" s="40"/>
    </row>
    <row r="65" spans="1:28" s="96" customFormat="1" ht="11.85" customHeight="1">
      <c r="A65" s="95"/>
      <c r="B65" s="146"/>
      <c r="C65" s="98"/>
      <c r="D65" s="98"/>
      <c r="E65" s="95"/>
      <c r="F65" s="98" t="s">
        <v>4722</v>
      </c>
      <c r="G65" s="98"/>
      <c r="H65" s="95"/>
      <c r="I65" s="95"/>
      <c r="J65" s="98" t="s">
        <v>4723</v>
      </c>
      <c r="K65" s="98"/>
      <c r="L65" s="98"/>
      <c r="M65" s="98"/>
      <c r="N65" s="98"/>
      <c r="O65" s="98"/>
      <c r="P65" s="95"/>
      <c r="Q65" s="4323">
        <v>15000</v>
      </c>
      <c r="R65" s="4324"/>
      <c r="S65" s="146"/>
      <c r="T65" s="146"/>
      <c r="U65" s="146"/>
      <c r="AA65" s="40"/>
      <c r="AB65" s="40"/>
    </row>
    <row r="66" spans="1:28" s="96" customFormat="1" ht="11.85" customHeight="1">
      <c r="A66" s="98"/>
      <c r="B66" s="98"/>
      <c r="C66" s="98"/>
      <c r="D66" s="98"/>
      <c r="E66" s="95"/>
      <c r="F66" s="98" t="s">
        <v>4724</v>
      </c>
      <c r="G66" s="98"/>
      <c r="H66" s="95"/>
      <c r="I66" s="95"/>
      <c r="K66" s="98"/>
      <c r="L66" s="98"/>
      <c r="M66" s="98"/>
      <c r="N66" s="98"/>
      <c r="O66" s="98"/>
      <c r="P66" s="95"/>
      <c r="Q66" s="4335">
        <v>1500</v>
      </c>
      <c r="R66" s="4336"/>
      <c r="S66" s="146"/>
      <c r="T66" s="146"/>
      <c r="U66" s="146"/>
      <c r="AA66" s="40"/>
      <c r="AB66" s="40"/>
    </row>
    <row r="67" spans="1:28" s="96" customFormat="1" ht="11.85" customHeight="1">
      <c r="A67" s="95"/>
      <c r="B67" s="146"/>
      <c r="C67" s="98"/>
      <c r="D67" s="98"/>
      <c r="E67" s="95"/>
      <c r="F67" s="98" t="s">
        <v>4725</v>
      </c>
      <c r="G67" s="98"/>
      <c r="H67" s="95"/>
      <c r="I67" s="95"/>
      <c r="J67" s="98"/>
      <c r="K67" s="98"/>
      <c r="L67" s="98"/>
      <c r="M67" s="98"/>
      <c r="N67" s="98"/>
      <c r="O67" s="98"/>
      <c r="P67" s="95"/>
      <c r="Q67" s="4337" t="s">
        <v>4726</v>
      </c>
      <c r="R67" s="4338"/>
      <c r="S67" s="146"/>
      <c r="T67" s="146"/>
      <c r="U67" s="146"/>
      <c r="AA67" s="40"/>
      <c r="AB67" s="40"/>
    </row>
    <row r="68" spans="1:28" s="96" customFormat="1" ht="11.85" customHeight="1">
      <c r="A68" s="95"/>
      <c r="B68" s="146"/>
      <c r="C68" s="98"/>
      <c r="D68" s="98"/>
      <c r="E68" s="95"/>
      <c r="F68" s="98" t="s">
        <v>4727</v>
      </c>
      <c r="G68" s="98"/>
      <c r="H68" s="95"/>
      <c r="I68" s="95"/>
      <c r="J68" s="98"/>
      <c r="K68" s="98"/>
      <c r="L68" s="98"/>
      <c r="M68" s="98"/>
      <c r="N68" s="98"/>
      <c r="O68" s="98"/>
      <c r="P68" s="95"/>
      <c r="Q68" s="4339" t="s">
        <v>4726</v>
      </c>
      <c r="R68" s="4340"/>
      <c r="S68" s="146"/>
      <c r="T68" s="146"/>
      <c r="U68" s="146"/>
      <c r="AA68" s="40"/>
      <c r="AB68" s="40"/>
    </row>
    <row r="69" spans="1:28" s="96" customFormat="1" ht="11.85" customHeight="1">
      <c r="A69" s="98"/>
      <c r="B69" s="98"/>
      <c r="D69" s="98"/>
      <c r="E69" s="95"/>
      <c r="F69" s="98" t="s">
        <v>4728</v>
      </c>
      <c r="G69" s="98"/>
      <c r="H69" s="95"/>
      <c r="I69" s="95"/>
      <c r="J69" s="98"/>
      <c r="K69" s="98"/>
      <c r="L69" s="98"/>
      <c r="M69" s="98"/>
      <c r="N69" s="98"/>
      <c r="O69" s="98"/>
      <c r="P69" s="95"/>
      <c r="Q69" s="4341">
        <v>1500</v>
      </c>
      <c r="R69" s="4342"/>
      <c r="S69" s="146"/>
      <c r="T69" s="146"/>
      <c r="U69" s="146"/>
      <c r="AA69" s="40"/>
      <c r="AB69" s="40"/>
    </row>
    <row r="70" spans="1:28" s="96" customFormat="1" ht="11.85" customHeight="1">
      <c r="A70" s="98"/>
      <c r="C70" s="98" t="s">
        <v>4729</v>
      </c>
      <c r="D70" s="95"/>
      <c r="E70" s="95"/>
      <c r="F70" s="98" t="s">
        <v>4730</v>
      </c>
      <c r="H70" s="98"/>
      <c r="I70" s="95"/>
      <c r="J70" s="98" t="s">
        <v>4731</v>
      </c>
      <c r="K70" s="98"/>
      <c r="L70" s="98"/>
      <c r="M70" s="98"/>
      <c r="N70" s="98"/>
      <c r="O70" s="98"/>
      <c r="P70" s="95"/>
      <c r="Q70" s="4343">
        <v>0.08</v>
      </c>
      <c r="R70" s="4343"/>
      <c r="S70" s="146"/>
      <c r="T70" s="146"/>
      <c r="U70" s="146"/>
      <c r="AA70" s="40"/>
      <c r="AB70" s="40"/>
    </row>
    <row r="71" spans="1:28" s="96" customFormat="1" ht="11.85" customHeight="1">
      <c r="A71" s="98"/>
      <c r="C71" s="98"/>
      <c r="D71" s="95"/>
      <c r="E71" s="95"/>
      <c r="F71" s="98" t="s">
        <v>4732</v>
      </c>
      <c r="H71" s="98"/>
      <c r="I71" s="95"/>
      <c r="J71" s="98" t="s">
        <v>4731</v>
      </c>
      <c r="K71" s="98"/>
      <c r="L71" s="98"/>
      <c r="M71" s="98"/>
      <c r="N71" s="98"/>
      <c r="O71" s="98"/>
      <c r="P71" s="95"/>
      <c r="Q71" s="4344">
        <v>0.08</v>
      </c>
      <c r="R71" s="4344"/>
      <c r="S71" s="146"/>
      <c r="T71" s="146"/>
      <c r="U71" s="146"/>
      <c r="AA71" s="40"/>
      <c r="AB71" s="40"/>
    </row>
    <row r="72" spans="1:28" s="96" customFormat="1" ht="11.85" customHeight="1">
      <c r="A72" s="98"/>
      <c r="C72" s="98"/>
      <c r="D72" s="95"/>
      <c r="E72" s="95"/>
      <c r="F72" s="98" t="s">
        <v>4733</v>
      </c>
      <c r="H72" s="98"/>
      <c r="I72" s="95"/>
      <c r="J72" s="98"/>
      <c r="K72" s="98"/>
      <c r="L72" s="98"/>
      <c r="M72" s="98"/>
      <c r="N72" s="98"/>
      <c r="O72" s="98"/>
      <c r="P72" s="95"/>
      <c r="Q72" s="4323">
        <v>2500</v>
      </c>
      <c r="R72" s="4324"/>
      <c r="S72" s="146"/>
      <c r="T72" s="146"/>
      <c r="U72" s="146"/>
      <c r="AA72" s="40"/>
      <c r="AB72" s="40"/>
    </row>
    <row r="73" spans="1:28" s="96" customFormat="1" ht="11.85" customHeight="1">
      <c r="A73" s="98"/>
      <c r="B73" s="98"/>
      <c r="C73" s="98"/>
      <c r="D73" s="95"/>
      <c r="E73" s="95"/>
      <c r="F73" s="98" t="s">
        <v>4734</v>
      </c>
      <c r="I73" s="95"/>
      <c r="J73" s="98" t="s">
        <v>4671</v>
      </c>
      <c r="K73" s="98"/>
      <c r="L73" s="98"/>
      <c r="M73" s="98"/>
      <c r="N73" s="98"/>
      <c r="O73" s="98"/>
      <c r="P73" s="95"/>
      <c r="Q73" s="4323">
        <v>8000</v>
      </c>
      <c r="R73" s="4324"/>
      <c r="S73" s="146"/>
      <c r="T73" s="146"/>
      <c r="U73" s="146"/>
      <c r="AA73" s="40"/>
      <c r="AB73" s="40"/>
    </row>
    <row r="74" spans="1:28" s="96" customFormat="1" ht="11.85" customHeight="1">
      <c r="A74" s="98"/>
      <c r="C74" s="98" t="s">
        <v>4735</v>
      </c>
      <c r="D74" s="95"/>
      <c r="E74" s="95"/>
      <c r="F74" s="98" t="s">
        <v>4736</v>
      </c>
      <c r="H74" s="98" t="s">
        <v>4737</v>
      </c>
      <c r="I74" s="95"/>
      <c r="J74" s="98" t="s">
        <v>679</v>
      </c>
      <c r="K74" s="98"/>
      <c r="L74" s="98"/>
      <c r="M74" s="98"/>
      <c r="N74" s="98"/>
      <c r="O74" s="98"/>
      <c r="P74" s="95"/>
      <c r="Q74" s="4323">
        <v>800</v>
      </c>
      <c r="R74" s="4324"/>
      <c r="S74" s="146"/>
      <c r="T74" s="146"/>
      <c r="U74" s="146"/>
      <c r="AA74" s="40"/>
      <c r="AB74" s="40"/>
    </row>
    <row r="75" spans="1:28" s="96" customFormat="1" ht="11.85" customHeight="1">
      <c r="A75" s="98"/>
      <c r="C75" s="98"/>
      <c r="D75" s="95"/>
      <c r="E75" s="95"/>
      <c r="F75" s="98"/>
      <c r="H75" s="98"/>
      <c r="I75" s="98" t="s">
        <v>4738</v>
      </c>
      <c r="J75" s="98" t="s">
        <v>679</v>
      </c>
      <c r="K75" s="98"/>
      <c r="L75" s="98"/>
      <c r="M75" s="98"/>
      <c r="N75" s="98"/>
      <c r="O75" s="98"/>
      <c r="P75" s="95"/>
      <c r="Q75" s="4323">
        <v>1000</v>
      </c>
      <c r="R75" s="4324"/>
      <c r="S75" s="146"/>
      <c r="T75" s="146"/>
      <c r="U75" s="146"/>
      <c r="AA75" s="40"/>
      <c r="AB75" s="40"/>
    </row>
    <row r="76" spans="1:28" s="96" customFormat="1" ht="11.85" customHeight="1">
      <c r="A76" s="98"/>
      <c r="B76" s="98"/>
      <c r="C76" s="98"/>
      <c r="D76" s="95"/>
      <c r="E76" s="95"/>
      <c r="H76" s="98" t="s">
        <v>4739</v>
      </c>
      <c r="I76" s="95"/>
      <c r="J76" s="98" t="s">
        <v>679</v>
      </c>
      <c r="K76" s="98" t="s">
        <v>4740</v>
      </c>
      <c r="L76" s="98"/>
      <c r="M76" s="98"/>
      <c r="N76" s="98"/>
      <c r="O76" s="98"/>
      <c r="P76" s="95"/>
      <c r="Q76" s="4333">
        <v>800</v>
      </c>
      <c r="R76" s="4334"/>
      <c r="S76" s="146"/>
      <c r="T76" s="146"/>
      <c r="U76" s="146"/>
      <c r="AA76" s="40"/>
      <c r="AB76" s="40"/>
    </row>
    <row r="77" spans="1:28" s="96" customFormat="1" ht="11.85" customHeight="1">
      <c r="A77" s="98"/>
      <c r="B77" s="98"/>
      <c r="C77" s="98"/>
      <c r="D77" s="95"/>
      <c r="E77" s="95"/>
      <c r="H77" s="98" t="s">
        <v>4741</v>
      </c>
      <c r="I77" s="95"/>
      <c r="J77" s="98" t="s">
        <v>4742</v>
      </c>
      <c r="K77" s="98"/>
      <c r="L77" s="98"/>
      <c r="M77" s="98"/>
      <c r="N77" s="98"/>
      <c r="O77" s="98"/>
      <c r="P77" s="95"/>
      <c r="Q77" s="4333">
        <v>1500</v>
      </c>
      <c r="R77" s="4334"/>
      <c r="S77" s="146"/>
      <c r="T77" s="146"/>
      <c r="U77" s="146"/>
      <c r="AA77" s="40"/>
      <c r="AB77" s="40"/>
    </row>
    <row r="78" spans="1:28" s="96" customFormat="1" ht="11.85" customHeight="1">
      <c r="A78" s="98"/>
      <c r="B78" s="98"/>
      <c r="C78" s="98"/>
      <c r="D78" s="98"/>
      <c r="E78" s="95"/>
      <c r="F78" s="98" t="s">
        <v>4743</v>
      </c>
      <c r="H78" s="95"/>
      <c r="I78" s="95"/>
      <c r="J78" s="98" t="s">
        <v>4744</v>
      </c>
      <c r="K78" s="98"/>
      <c r="L78" s="98"/>
      <c r="M78" s="98"/>
      <c r="N78" s="98"/>
      <c r="O78" s="98"/>
      <c r="P78" s="95"/>
      <c r="Q78" s="4331">
        <v>1500</v>
      </c>
      <c r="R78" s="4332"/>
      <c r="S78" s="146"/>
      <c r="T78" s="146"/>
      <c r="U78" s="146"/>
      <c r="AA78" s="40"/>
      <c r="AB78" s="40"/>
    </row>
    <row r="79" spans="1:28" s="96" customFormat="1" ht="11.85" customHeight="1">
      <c r="A79" s="98"/>
      <c r="B79" s="98"/>
      <c r="C79" s="98"/>
      <c r="D79" s="95"/>
      <c r="E79" s="95"/>
      <c r="F79" s="98" t="s">
        <v>4745</v>
      </c>
      <c r="I79" s="95"/>
      <c r="J79" s="98" t="s">
        <v>4746</v>
      </c>
      <c r="K79" s="98"/>
      <c r="L79" s="98"/>
      <c r="M79" s="98"/>
      <c r="N79" s="98"/>
      <c r="O79" s="98"/>
      <c r="P79" s="95"/>
      <c r="Q79" s="4347">
        <v>1500</v>
      </c>
      <c r="R79" s="4348"/>
      <c r="S79" s="146"/>
      <c r="T79" s="146"/>
      <c r="U79" s="146"/>
      <c r="AA79" s="40"/>
      <c r="AB79" s="40"/>
    </row>
    <row r="80" spans="1:28" s="96" customFormat="1" ht="11.85" customHeight="1">
      <c r="A80" s="98"/>
      <c r="B80" s="98"/>
      <c r="C80" s="98"/>
      <c r="D80" s="95"/>
      <c r="E80" s="95"/>
      <c r="F80" s="98" t="s">
        <v>4747</v>
      </c>
      <c r="I80" s="95"/>
      <c r="J80" s="98" t="s">
        <v>4748</v>
      </c>
      <c r="K80" s="98"/>
      <c r="L80" s="98" t="s">
        <v>4749</v>
      </c>
      <c r="M80" s="98"/>
      <c r="N80" s="98"/>
      <c r="O80" s="98"/>
      <c r="P80" s="95"/>
      <c r="Q80" s="4345">
        <v>75</v>
      </c>
      <c r="R80" s="4346"/>
      <c r="S80" s="146"/>
      <c r="T80" s="146"/>
      <c r="U80" s="146"/>
      <c r="AA80" s="40"/>
      <c r="AB80" s="40"/>
    </row>
    <row r="81" spans="1:28" ht="11.25" customHeight="1">
      <c r="B81" s="98" t="s">
        <v>4750</v>
      </c>
      <c r="F81" s="882" t="s">
        <v>663</v>
      </c>
      <c r="G81" s="146"/>
      <c r="H81" s="146"/>
      <c r="J81" s="98"/>
      <c r="K81" s="98"/>
      <c r="L81" s="25"/>
      <c r="M81" s="25"/>
      <c r="AA81"/>
      <c r="AB81"/>
    </row>
    <row r="82" spans="1:28" ht="11.25" customHeight="1">
      <c r="F82" s="77"/>
      <c r="H82" s="883">
        <v>0.09</v>
      </c>
      <c r="I82" s="146" t="s">
        <v>669</v>
      </c>
      <c r="J82" s="279"/>
      <c r="K82" s="279"/>
      <c r="N82" s="25"/>
      <c r="O82" s="886" t="s">
        <v>4751</v>
      </c>
      <c r="Q82" s="4349">
        <v>38000</v>
      </c>
      <c r="R82" s="4349"/>
      <c r="AA82"/>
      <c r="AB82"/>
    </row>
    <row r="83" spans="1:28" ht="11.25" customHeight="1">
      <c r="F83" s="77"/>
      <c r="H83" s="509"/>
      <c r="I83" s="146"/>
      <c r="J83" s="279"/>
      <c r="K83" s="279"/>
      <c r="O83" s="146" t="s">
        <v>4752</v>
      </c>
      <c r="Q83" s="4350">
        <v>0.13</v>
      </c>
      <c r="R83" s="4350"/>
      <c r="AA83"/>
      <c r="AB83"/>
    </row>
    <row r="84" spans="1:28" ht="11.25" customHeight="1">
      <c r="F84" s="77"/>
      <c r="H84" s="1017"/>
      <c r="I84" s="1169" t="s">
        <v>4694</v>
      </c>
      <c r="J84" s="1018"/>
      <c r="K84" s="1019"/>
      <c r="L84" s="111"/>
      <c r="M84" s="111"/>
      <c r="N84" s="111"/>
      <c r="O84" s="1169" t="s">
        <v>4753</v>
      </c>
      <c r="P84" s="1020"/>
      <c r="Q84" s="4351">
        <v>0.3</v>
      </c>
      <c r="R84" s="4351"/>
      <c r="AA84"/>
      <c r="AB84"/>
    </row>
    <row r="85" spans="1:28" ht="11.25" customHeight="1">
      <c r="H85" s="1021">
        <v>0.04</v>
      </c>
      <c r="I85" s="146" t="s">
        <v>669</v>
      </c>
      <c r="J85" s="1023"/>
      <c r="K85" s="1023"/>
      <c r="L85" s="1022"/>
      <c r="M85" s="1022"/>
      <c r="N85" s="1022"/>
      <c r="O85" s="886" t="s">
        <v>4751</v>
      </c>
      <c r="P85" s="1024"/>
      <c r="Q85" s="4349">
        <v>38000</v>
      </c>
      <c r="R85" s="4349"/>
      <c r="AA85"/>
      <c r="AB85"/>
    </row>
    <row r="86" spans="1:28" ht="11.25" customHeight="1">
      <c r="H86" s="884"/>
      <c r="I86" s="146"/>
      <c r="J86" s="279"/>
      <c r="K86" s="279"/>
      <c r="O86" s="146" t="s">
        <v>4752</v>
      </c>
      <c r="Q86" s="4351">
        <v>0.13</v>
      </c>
      <c r="R86" s="4351"/>
      <c r="AA86"/>
      <c r="AB86"/>
    </row>
    <row r="87" spans="1:28" ht="11.25" customHeight="1">
      <c r="H87" s="884"/>
      <c r="I87" s="146" t="s">
        <v>4694</v>
      </c>
      <c r="J87" s="279"/>
      <c r="K87" s="884"/>
      <c r="O87" s="1169" t="s">
        <v>4753</v>
      </c>
      <c r="Q87" s="4351">
        <v>0.3</v>
      </c>
      <c r="R87" s="4351"/>
      <c r="AA87"/>
      <c r="AB87"/>
    </row>
    <row r="88" spans="1:28" ht="11.25" customHeight="1">
      <c r="F88" s="146" t="s">
        <v>660</v>
      </c>
      <c r="H88" s="263"/>
      <c r="I88" s="25"/>
      <c r="AA88"/>
      <c r="AB88"/>
    </row>
    <row r="89" spans="1:28" ht="11.25" customHeight="1">
      <c r="H89" s="885">
        <v>0.09</v>
      </c>
      <c r="I89" s="146"/>
      <c r="Q89" s="4349">
        <v>2700000</v>
      </c>
      <c r="R89" s="4349"/>
      <c r="AA89"/>
      <c r="AB89"/>
    </row>
    <row r="90" spans="1:28" ht="11.25" customHeight="1">
      <c r="H90" s="885">
        <v>0.04</v>
      </c>
      <c r="I90" s="146"/>
      <c r="Q90" s="4352">
        <v>4500000</v>
      </c>
      <c r="R90" s="4352"/>
      <c r="AA90"/>
      <c r="AB90"/>
    </row>
    <row r="91" spans="1:28">
      <c r="AA91"/>
      <c r="AB91"/>
    </row>
    <row r="92" spans="1:28" s="96" customFormat="1" ht="13.5">
      <c r="A92" s="98"/>
      <c r="B92" s="98"/>
      <c r="C92" s="98"/>
      <c r="D92" s="95"/>
      <c r="E92" s="95"/>
      <c r="F92" s="98"/>
      <c r="G92" s="98"/>
      <c r="H92" s="98"/>
      <c r="I92" s="95"/>
      <c r="J92" s="98" t="s">
        <v>4754</v>
      </c>
      <c r="K92" s="98"/>
      <c r="L92" s="98"/>
      <c r="M92" s="98"/>
      <c r="N92" s="98"/>
      <c r="O92" s="98"/>
      <c r="P92" s="95"/>
      <c r="Q92" s="4345">
        <v>3500000</v>
      </c>
      <c r="R92" s="4346"/>
      <c r="S92" s="146"/>
      <c r="T92" s="146"/>
      <c r="U92" s="146"/>
      <c r="AA92" s="40"/>
      <c r="AB92" s="40"/>
    </row>
    <row r="93" spans="1:28" s="96" customFormat="1" ht="13.5" hidden="1">
      <c r="A93" s="98"/>
      <c r="B93" s="98"/>
      <c r="C93" s="98"/>
      <c r="D93" s="95"/>
      <c r="E93" s="95"/>
      <c r="F93" s="98" t="s">
        <v>4755</v>
      </c>
      <c r="G93" s="98"/>
      <c r="H93" s="98" t="s">
        <v>669</v>
      </c>
      <c r="I93" s="95"/>
      <c r="J93" s="98" t="s">
        <v>4756</v>
      </c>
      <c r="K93" s="98"/>
      <c r="L93" s="98"/>
      <c r="M93" s="98"/>
      <c r="N93" s="98"/>
      <c r="O93" s="98"/>
      <c r="P93" s="95"/>
      <c r="Q93" s="4353">
        <v>0.15</v>
      </c>
      <c r="R93" s="4354"/>
      <c r="S93" s="146"/>
      <c r="T93" s="146"/>
      <c r="U93" s="146"/>
      <c r="AA93" s="40"/>
      <c r="AB93" s="40"/>
    </row>
    <row r="94" spans="1:28" s="96" customFormat="1" ht="13.5" hidden="1">
      <c r="A94" s="98"/>
      <c r="B94" s="215"/>
      <c r="C94" s="98"/>
      <c r="D94" s="95"/>
      <c r="E94" s="95"/>
      <c r="F94" s="98"/>
      <c r="G94" s="98"/>
      <c r="H94" s="98" t="s">
        <v>4757</v>
      </c>
      <c r="I94" s="98" t="s">
        <v>4758</v>
      </c>
      <c r="J94" s="98" t="s">
        <v>4759</v>
      </c>
      <c r="K94" s="98"/>
      <c r="L94" s="98"/>
      <c r="M94" s="98"/>
      <c r="N94" s="98"/>
      <c r="O94" s="98"/>
      <c r="P94" s="95"/>
      <c r="Q94" s="4353">
        <v>0.15</v>
      </c>
      <c r="R94" s="4354"/>
      <c r="S94" s="146"/>
      <c r="T94" s="146"/>
      <c r="U94" s="146"/>
      <c r="AA94" s="40"/>
      <c r="AB94" s="40"/>
    </row>
    <row r="95" spans="1:28" s="96" customFormat="1" ht="13.5" hidden="1">
      <c r="A95" s="98"/>
      <c r="B95" s="215"/>
      <c r="C95" s="98"/>
      <c r="D95" s="95"/>
      <c r="E95" s="95"/>
      <c r="F95" s="98"/>
      <c r="G95" s="98"/>
      <c r="H95" s="98"/>
      <c r="I95" s="98" t="s">
        <v>4760</v>
      </c>
      <c r="J95" s="98" t="s">
        <v>4761</v>
      </c>
      <c r="K95" s="98"/>
      <c r="L95" s="98"/>
      <c r="M95" s="98"/>
      <c r="N95" s="98"/>
      <c r="O95" s="98"/>
      <c r="P95" s="95"/>
      <c r="Q95" s="4353">
        <v>0.15</v>
      </c>
      <c r="R95" s="4354"/>
      <c r="S95" s="146"/>
      <c r="T95" s="146"/>
      <c r="U95" s="146"/>
      <c r="AA95" s="40"/>
      <c r="AB95" s="40"/>
    </row>
    <row r="96" spans="1:28" s="96" customFormat="1" ht="13.5" hidden="1">
      <c r="A96" s="98"/>
      <c r="B96" s="215"/>
      <c r="C96" s="98"/>
      <c r="D96" s="95"/>
      <c r="E96" s="95"/>
      <c r="F96" s="98"/>
      <c r="G96" s="98"/>
      <c r="H96" s="98" t="s">
        <v>4762</v>
      </c>
      <c r="I96" s="95"/>
      <c r="J96" s="98" t="s">
        <v>4761</v>
      </c>
      <c r="K96" s="98"/>
      <c r="L96" s="98"/>
      <c r="M96" s="98"/>
      <c r="N96" s="98"/>
      <c r="O96" s="98"/>
      <c r="P96" s="95"/>
      <c r="Q96" s="4353">
        <v>0.15</v>
      </c>
      <c r="R96" s="4354"/>
      <c r="S96" s="146"/>
      <c r="T96" s="146"/>
      <c r="U96" s="146"/>
      <c r="AA96" s="40"/>
      <c r="AB96" s="40"/>
    </row>
    <row r="97" spans="1:28" s="96" customFormat="1" ht="13.5" hidden="1">
      <c r="A97" s="98"/>
      <c r="B97" s="215"/>
      <c r="C97" s="98"/>
      <c r="D97" s="95"/>
      <c r="E97" s="95"/>
      <c r="F97" s="98"/>
      <c r="G97" s="98"/>
      <c r="H97" s="98"/>
      <c r="I97" s="98" t="s">
        <v>4763</v>
      </c>
      <c r="J97" s="98" t="s">
        <v>4764</v>
      </c>
      <c r="K97" s="98"/>
      <c r="L97" s="98"/>
      <c r="M97" s="98"/>
      <c r="N97" s="98"/>
      <c r="O97" s="98"/>
      <c r="P97" s="95"/>
      <c r="Q97" s="4353">
        <v>0.15</v>
      </c>
      <c r="R97" s="4354"/>
      <c r="S97" s="146"/>
      <c r="T97" s="146"/>
      <c r="U97" s="146"/>
      <c r="AA97" s="40"/>
      <c r="AB97" s="40"/>
    </row>
    <row r="98" spans="1:28" s="96" customFormat="1" ht="13.5" hidden="1">
      <c r="A98" s="98"/>
      <c r="B98" s="215"/>
      <c r="C98" s="98"/>
      <c r="D98" s="95"/>
      <c r="E98" s="95"/>
      <c r="F98" s="98" t="s">
        <v>4765</v>
      </c>
      <c r="G98" s="98"/>
      <c r="H98" s="98"/>
      <c r="I98" s="95"/>
      <c r="J98" s="98" t="s">
        <v>4766</v>
      </c>
      <c r="K98" s="98"/>
      <c r="L98" s="98"/>
      <c r="M98" s="98"/>
      <c r="N98" s="98"/>
      <c r="O98" s="98"/>
      <c r="P98" s="95"/>
      <c r="Q98" s="4353">
        <v>0.15</v>
      </c>
      <c r="R98" s="4354"/>
      <c r="S98" s="146"/>
      <c r="T98" s="146"/>
      <c r="U98" s="146"/>
      <c r="AA98" s="40"/>
      <c r="AB98" s="40"/>
    </row>
    <row r="99" spans="1:28" s="96" customFormat="1" ht="13.5" hidden="1">
      <c r="A99" s="98"/>
      <c r="B99" s="215"/>
      <c r="C99" s="98"/>
      <c r="D99" s="95"/>
      <c r="E99" s="95"/>
      <c r="G99" s="98"/>
      <c r="H99" s="98"/>
      <c r="I99" s="95"/>
      <c r="J99" s="98" t="s">
        <v>4767</v>
      </c>
      <c r="K99" s="98"/>
      <c r="L99" s="98"/>
      <c r="M99" s="98"/>
      <c r="N99" s="98"/>
      <c r="O99" s="98"/>
      <c r="P99" s="95"/>
      <c r="Q99" s="4353" t="s">
        <v>4768</v>
      </c>
      <c r="R99" s="4354"/>
      <c r="S99" s="146"/>
      <c r="T99" s="146"/>
      <c r="U99" s="146"/>
      <c r="AA99" s="40"/>
      <c r="AB99" s="40"/>
    </row>
    <row r="100" spans="1:28" s="96" customFormat="1" ht="11.25" customHeight="1">
      <c r="A100" s="98"/>
      <c r="B100" s="215"/>
      <c r="C100" s="98"/>
      <c r="D100" s="95"/>
      <c r="E100" s="95"/>
      <c r="F100" s="98" t="s">
        <v>4769</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4770</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4771</v>
      </c>
      <c r="C102" s="98"/>
      <c r="D102" s="98"/>
      <c r="E102" s="98"/>
      <c r="F102" s="98"/>
      <c r="G102" s="98"/>
      <c r="H102" s="95"/>
      <c r="I102" s="95"/>
      <c r="J102" s="98" t="s">
        <v>4772</v>
      </c>
      <c r="K102" s="98"/>
      <c r="L102" s="98"/>
      <c r="M102" s="98"/>
      <c r="N102" s="98"/>
      <c r="O102" s="98"/>
      <c r="P102" s="95"/>
      <c r="Q102" s="2879">
        <v>6</v>
      </c>
      <c r="R102" s="2879" t="s">
        <v>2062</v>
      </c>
      <c r="S102" s="146"/>
      <c r="T102" s="146"/>
      <c r="U102" s="146"/>
      <c r="AA102" s="40"/>
      <c r="AB102" s="40"/>
    </row>
    <row r="103" spans="1:28" s="96" customFormat="1" ht="11.25" customHeight="1">
      <c r="A103" s="98"/>
      <c r="C103" s="98"/>
      <c r="D103" s="98"/>
      <c r="E103" s="98"/>
      <c r="F103" s="98"/>
      <c r="G103" s="98"/>
      <c r="H103" s="95"/>
      <c r="I103" s="95"/>
      <c r="J103" s="98" t="s">
        <v>4773</v>
      </c>
      <c r="K103" s="98"/>
      <c r="L103" s="98"/>
      <c r="M103" s="98"/>
      <c r="N103" s="98"/>
      <c r="O103" s="98"/>
      <c r="P103" s="95"/>
      <c r="Q103" s="1495">
        <v>6</v>
      </c>
      <c r="R103" s="1495" t="s">
        <v>2062</v>
      </c>
      <c r="S103" s="146"/>
      <c r="T103" s="146"/>
      <c r="U103" s="146"/>
      <c r="AA103" s="40"/>
      <c r="AB103" s="40"/>
    </row>
    <row r="104" spans="1:28" s="96" customFormat="1" ht="11.25" customHeight="1">
      <c r="A104" s="98"/>
      <c r="B104" s="98" t="s">
        <v>689</v>
      </c>
      <c r="C104" s="98"/>
      <c r="D104" s="98"/>
      <c r="E104" s="98"/>
      <c r="F104" s="98"/>
      <c r="G104" s="98"/>
      <c r="H104" s="95"/>
      <c r="I104" s="95"/>
      <c r="J104" s="98" t="s">
        <v>4774</v>
      </c>
      <c r="K104" s="98"/>
      <c r="L104" s="98"/>
      <c r="M104" s="98"/>
      <c r="N104" s="98"/>
      <c r="O104" s="98"/>
      <c r="P104" s="95"/>
      <c r="Q104" s="1495">
        <v>12</v>
      </c>
      <c r="R104" s="1495">
        <v>12</v>
      </c>
      <c r="S104" s="146"/>
      <c r="T104" s="146"/>
      <c r="U104" s="146"/>
      <c r="AA104" s="40"/>
      <c r="AB104" s="40"/>
    </row>
    <row r="105" spans="1:28" s="96" customFormat="1" ht="11.25" customHeight="1">
      <c r="A105" s="98"/>
      <c r="B105" s="216" t="s">
        <v>4775</v>
      </c>
      <c r="C105" s="98"/>
      <c r="D105" s="95"/>
      <c r="E105" s="95"/>
      <c r="F105" s="98"/>
      <c r="G105" s="98"/>
      <c r="I105" s="95"/>
      <c r="J105" s="98" t="s">
        <v>4776</v>
      </c>
      <c r="K105" s="98"/>
      <c r="L105" s="98"/>
      <c r="M105" s="98"/>
      <c r="N105" s="98"/>
      <c r="O105" s="98"/>
      <c r="P105" s="95"/>
      <c r="Q105" s="1492">
        <v>3</v>
      </c>
      <c r="R105" s="1492" t="s">
        <v>2062</v>
      </c>
      <c r="S105" s="146"/>
      <c r="T105" s="146"/>
      <c r="U105" s="146"/>
      <c r="AA105" s="40"/>
      <c r="AB105" s="40"/>
    </row>
    <row r="106" spans="1:28" s="96" customFormat="1" ht="11.85" customHeight="1">
      <c r="A106" s="98"/>
      <c r="B106" s="98" t="s">
        <v>4777</v>
      </c>
      <c r="C106" s="98"/>
      <c r="D106" s="95"/>
      <c r="E106" s="98"/>
      <c r="F106" s="98"/>
      <c r="G106" s="98"/>
      <c r="H106" s="95"/>
      <c r="I106" s="95"/>
      <c r="J106" s="98" t="s">
        <v>4671</v>
      </c>
      <c r="K106" s="98"/>
      <c r="L106" s="98"/>
      <c r="M106" s="98"/>
      <c r="N106" s="98"/>
      <c r="O106" s="98"/>
      <c r="P106" s="95"/>
      <c r="Q106" s="4345">
        <v>3000</v>
      </c>
      <c r="R106" s="4346"/>
      <c r="S106" s="146"/>
      <c r="T106" s="146"/>
      <c r="U106" s="146"/>
      <c r="AA106" s="40"/>
      <c r="AB106" s="40"/>
    </row>
    <row r="107" spans="1:28" s="96" customFormat="1" ht="11.85" customHeight="1">
      <c r="A107" s="98"/>
      <c r="B107" s="98"/>
      <c r="C107" s="98"/>
      <c r="D107" s="95"/>
      <c r="E107" s="95"/>
      <c r="O107" s="98"/>
      <c r="T107" s="142"/>
      <c r="U107" s="95"/>
      <c r="V107" s="222"/>
      <c r="W107" s="222"/>
      <c r="X107" s="222"/>
      <c r="AA107" s="40"/>
      <c r="AB107" s="40"/>
    </row>
    <row r="108" spans="1:28" s="96" customFormat="1" ht="11.85" customHeight="1">
      <c r="A108" s="137" t="s">
        <v>4644</v>
      </c>
      <c r="B108" s="137"/>
      <c r="C108" s="137"/>
      <c r="D108" s="95"/>
      <c r="E108" s="95"/>
      <c r="F108" s="137" t="s">
        <v>4645</v>
      </c>
      <c r="G108" s="137"/>
      <c r="H108" s="95"/>
      <c r="I108" s="95"/>
      <c r="J108" s="137" t="s">
        <v>4646</v>
      </c>
      <c r="K108" s="137"/>
      <c r="L108" s="137"/>
      <c r="M108" s="137"/>
      <c r="N108" s="137"/>
      <c r="O108" s="137"/>
      <c r="P108" s="95"/>
      <c r="Q108" s="99" t="s">
        <v>4647</v>
      </c>
      <c r="R108" s="99" t="s">
        <v>4648</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4778</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85" customHeight="1">
      <c r="B112" s="147" t="s">
        <v>4779</v>
      </c>
      <c r="C112" s="78"/>
      <c r="D112" s="78"/>
      <c r="E112" s="78"/>
      <c r="F112" s="78"/>
      <c r="G112" s="78"/>
      <c r="J112" s="2884">
        <v>1</v>
      </c>
      <c r="K112" s="2884">
        <v>2</v>
      </c>
      <c r="L112" s="2884">
        <v>3</v>
      </c>
      <c r="M112" s="2884">
        <v>4</v>
      </c>
      <c r="N112" s="2884">
        <v>5</v>
      </c>
      <c r="O112" s="2884">
        <v>6</v>
      </c>
      <c r="P112" s="2884">
        <v>7</v>
      </c>
      <c r="Q112" s="2884">
        <v>8</v>
      </c>
    </row>
    <row r="113" spans="1:28" ht="11.1" customHeight="1">
      <c r="B113" s="78"/>
      <c r="C113" s="78"/>
      <c r="D113" s="78"/>
      <c r="E113" s="78"/>
      <c r="F113" s="78"/>
      <c r="G113" s="78"/>
      <c r="J113" s="2885">
        <v>0.7</v>
      </c>
      <c r="K113" s="2885">
        <v>0.8</v>
      </c>
      <c r="L113" s="2885">
        <v>0.9</v>
      </c>
      <c r="M113" s="2886" t="s">
        <v>4780</v>
      </c>
      <c r="N113" s="2885">
        <v>1.08</v>
      </c>
      <c r="O113" s="2885">
        <v>1.1599999999999999</v>
      </c>
      <c r="P113" s="2885">
        <v>1.24</v>
      </c>
      <c r="Q113" s="2885">
        <v>1.32</v>
      </c>
    </row>
    <row r="114" spans="1:28" s="96" customFormat="1" ht="11.85" customHeight="1">
      <c r="A114" s="98"/>
      <c r="B114" s="98" t="s">
        <v>1280</v>
      </c>
      <c r="C114" s="98"/>
      <c r="D114" s="95"/>
      <c r="E114" s="95"/>
      <c r="F114" s="95"/>
      <c r="G114" s="98"/>
      <c r="H114" s="95"/>
      <c r="I114" s="95"/>
      <c r="J114" s="98" t="s">
        <v>4781</v>
      </c>
      <c r="K114" s="98"/>
      <c r="L114" s="98"/>
      <c r="M114" s="98"/>
      <c r="N114" s="98"/>
      <c r="O114" s="98"/>
      <c r="P114" s="95"/>
      <c r="Q114" s="4355">
        <v>0.02</v>
      </c>
      <c r="R114" s="4355"/>
      <c r="S114" s="146"/>
      <c r="T114" s="146"/>
      <c r="U114" s="146"/>
      <c r="AA114" s="40"/>
      <c r="AB114" s="40"/>
    </row>
    <row r="115" spans="1:28" s="146" customFormat="1" ht="11.85" customHeight="1">
      <c r="A115" s="98"/>
      <c r="B115" s="98" t="s">
        <v>4782</v>
      </c>
      <c r="C115" s="98"/>
      <c r="D115" s="98"/>
      <c r="E115" s="98"/>
      <c r="F115" s="98"/>
      <c r="G115" s="98"/>
      <c r="H115" s="98"/>
      <c r="J115" s="98" t="s">
        <v>4783</v>
      </c>
      <c r="K115" s="98"/>
      <c r="L115" s="98"/>
      <c r="M115" s="98"/>
      <c r="N115" s="98"/>
      <c r="O115" s="98"/>
      <c r="Q115" s="4343">
        <v>0.02</v>
      </c>
      <c r="R115" s="4343"/>
      <c r="AA115" s="40"/>
      <c r="AB115" s="40"/>
    </row>
    <row r="116" spans="1:28" s="146" customFormat="1" ht="11.85" customHeight="1">
      <c r="A116" s="98"/>
      <c r="B116" s="98" t="s">
        <v>4784</v>
      </c>
      <c r="C116" s="98"/>
      <c r="D116" s="98"/>
      <c r="E116" s="98"/>
      <c r="F116" s="98" t="s">
        <v>4785</v>
      </c>
      <c r="G116" s="98"/>
      <c r="H116" s="98"/>
      <c r="J116" s="98" t="s">
        <v>4783</v>
      </c>
      <c r="K116" s="98"/>
      <c r="L116" s="98"/>
      <c r="M116" s="98"/>
      <c r="N116" s="98"/>
      <c r="O116" s="98"/>
      <c r="Q116" s="1490">
        <v>7.0000000000000007E-2</v>
      </c>
      <c r="R116" s="1491" t="s">
        <v>4692</v>
      </c>
      <c r="AA116" s="40"/>
      <c r="AB116" s="40"/>
    </row>
    <row r="117" spans="1:28" s="146" customFormat="1" ht="11.85" customHeight="1">
      <c r="A117" s="98"/>
      <c r="B117" s="98"/>
      <c r="C117" s="98"/>
      <c r="D117" s="98"/>
      <c r="E117" s="98"/>
      <c r="F117" s="98" t="s">
        <v>4786</v>
      </c>
      <c r="G117" s="98"/>
      <c r="H117" s="98"/>
      <c r="J117" s="98" t="s">
        <v>4783</v>
      </c>
      <c r="K117" s="98"/>
      <c r="L117" s="98"/>
      <c r="M117" s="98"/>
      <c r="N117" s="98"/>
      <c r="O117" s="98"/>
      <c r="Q117" s="1490">
        <v>7.0000000000000007E-2</v>
      </c>
      <c r="R117" s="1491" t="s">
        <v>4692</v>
      </c>
      <c r="AA117" s="40"/>
      <c r="AB117" s="40"/>
    </row>
    <row r="118" spans="1:28" s="96" customFormat="1" ht="11.85" customHeight="1">
      <c r="A118" s="98"/>
      <c r="B118" s="98" t="s">
        <v>4787</v>
      </c>
      <c r="C118" s="98"/>
      <c r="D118" s="95"/>
      <c r="E118" s="95"/>
      <c r="F118" s="95"/>
      <c r="G118" s="98"/>
      <c r="H118" s="95"/>
      <c r="I118" s="95"/>
      <c r="J118" s="98" t="s">
        <v>4783</v>
      </c>
      <c r="K118" s="98"/>
      <c r="L118" s="98"/>
      <c r="M118" s="98"/>
      <c r="N118" s="98"/>
      <c r="O118" s="98"/>
      <c r="P118" s="95"/>
      <c r="Q118" s="4344">
        <v>0.03</v>
      </c>
      <c r="R118" s="4344"/>
      <c r="S118" s="146"/>
      <c r="T118" s="146"/>
      <c r="U118" s="146"/>
      <c r="AA118" s="40"/>
      <c r="AB118" s="40"/>
    </row>
    <row r="119" spans="1:28" s="96" customFormat="1" ht="11.85" customHeight="1">
      <c r="A119" s="98"/>
      <c r="B119" s="98" t="s">
        <v>4788</v>
      </c>
      <c r="C119" s="98"/>
      <c r="D119" s="95"/>
      <c r="E119" s="95"/>
      <c r="F119" s="95"/>
      <c r="G119" s="98"/>
      <c r="H119" s="95"/>
      <c r="I119" s="95"/>
      <c r="J119" s="98" t="s">
        <v>4783</v>
      </c>
      <c r="K119" s="98"/>
      <c r="L119" s="98"/>
      <c r="M119" s="98"/>
      <c r="N119" s="98"/>
      <c r="O119" s="98"/>
      <c r="P119" s="95"/>
      <c r="Q119" s="4344">
        <v>0.03</v>
      </c>
      <c r="R119" s="4344"/>
      <c r="S119" s="146"/>
      <c r="T119" s="146"/>
      <c r="U119" s="146"/>
      <c r="AA119" s="40"/>
      <c r="AB119" s="40"/>
    </row>
    <row r="120" spans="1:28" s="96" customFormat="1" ht="11.85" customHeight="1">
      <c r="A120" s="98"/>
      <c r="B120" s="98" t="s">
        <v>4789</v>
      </c>
      <c r="C120" s="98"/>
      <c r="D120" s="95"/>
      <c r="E120" s="95"/>
      <c r="F120" s="95"/>
      <c r="G120" s="98"/>
      <c r="H120" s="95"/>
      <c r="I120" s="95"/>
      <c r="J120" s="98" t="s">
        <v>4783</v>
      </c>
      <c r="K120" s="98"/>
      <c r="L120" s="98"/>
      <c r="M120" s="98"/>
      <c r="N120" s="98"/>
      <c r="O120" s="98"/>
      <c r="P120" s="95"/>
      <c r="Q120" s="4361">
        <v>0</v>
      </c>
      <c r="R120" s="4361"/>
      <c r="S120" s="146"/>
      <c r="T120" s="146"/>
      <c r="U120" s="146"/>
      <c r="AA120" s="40"/>
      <c r="AB120" s="40"/>
    </row>
    <row r="121" spans="1:28" s="96" customFormat="1" ht="11.45" customHeight="1">
      <c r="A121" s="95"/>
      <c r="B121" s="98" t="s">
        <v>4790</v>
      </c>
      <c r="C121" s="98"/>
      <c r="D121" s="98"/>
      <c r="E121" s="95"/>
      <c r="F121" s="98" t="s">
        <v>4791</v>
      </c>
      <c r="G121" s="98"/>
      <c r="H121" s="95"/>
      <c r="I121" s="95"/>
      <c r="J121" s="98" t="s">
        <v>669</v>
      </c>
      <c r="K121" s="98"/>
      <c r="L121" s="98"/>
      <c r="M121" s="98"/>
      <c r="N121" s="98"/>
      <c r="O121" s="98"/>
      <c r="P121" s="95"/>
      <c r="Q121" s="1496">
        <v>1.2</v>
      </c>
      <c r="R121" s="1497"/>
      <c r="S121" s="146"/>
      <c r="T121" s="146"/>
      <c r="U121" s="146"/>
      <c r="AA121" s="40"/>
      <c r="AB121" s="40"/>
    </row>
    <row r="122" spans="1:28" s="96" customFormat="1" ht="11.45" customHeight="1">
      <c r="A122" s="95"/>
      <c r="B122" s="98"/>
      <c r="C122" s="98"/>
      <c r="D122" s="98"/>
      <c r="E122" s="95"/>
      <c r="F122" s="98"/>
      <c r="G122" s="98"/>
      <c r="H122" s="95"/>
      <c r="I122" s="95"/>
      <c r="J122" s="98" t="s">
        <v>4694</v>
      </c>
      <c r="K122" s="98"/>
      <c r="L122" s="98"/>
      <c r="M122" s="98"/>
      <c r="N122" s="98"/>
      <c r="O122" s="98"/>
      <c r="P122" s="95"/>
      <c r="Q122" s="1498">
        <v>1.25</v>
      </c>
      <c r="R122" s="1499"/>
      <c r="S122" s="146"/>
      <c r="T122" s="146"/>
      <c r="U122" s="146"/>
      <c r="AA122" s="40"/>
      <c r="AB122" s="40"/>
    </row>
    <row r="123" spans="1:28" s="96" customFormat="1" ht="11.45" customHeight="1">
      <c r="A123" s="95"/>
      <c r="B123" s="98" t="s">
        <v>4792</v>
      </c>
      <c r="C123" s="98"/>
      <c r="D123" s="98"/>
      <c r="E123" s="95"/>
      <c r="F123" s="98"/>
      <c r="G123" s="98"/>
      <c r="H123" s="95"/>
      <c r="I123" s="95"/>
      <c r="J123" s="98" t="s">
        <v>669</v>
      </c>
      <c r="K123" s="98"/>
      <c r="L123" s="98"/>
      <c r="M123" s="98"/>
      <c r="N123" s="98"/>
      <c r="O123" s="98"/>
      <c r="P123" s="95"/>
      <c r="Q123" s="1496">
        <v>1.1000000000000001</v>
      </c>
      <c r="R123" s="1497"/>
      <c r="S123" s="146"/>
      <c r="T123" s="146"/>
      <c r="U123" s="146"/>
      <c r="AA123" s="40"/>
      <c r="AB123" s="40"/>
    </row>
    <row r="124" spans="1:28" s="96" customFormat="1" ht="11.45" customHeight="1">
      <c r="A124" s="95"/>
      <c r="B124" s="98"/>
      <c r="C124" s="98"/>
      <c r="D124" s="98"/>
      <c r="E124" s="95"/>
      <c r="F124" s="98"/>
      <c r="G124" s="98"/>
      <c r="H124" s="95"/>
      <c r="I124" s="95"/>
      <c r="J124" s="98" t="s">
        <v>4694</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85" customHeight="1">
      <c r="A126" s="141" t="s">
        <v>4793</v>
      </c>
      <c r="B126" s="98"/>
      <c r="C126" s="98"/>
      <c r="D126" s="98" t="s">
        <v>4794</v>
      </c>
      <c r="G126" s="98" t="s">
        <v>2043</v>
      </c>
      <c r="I126" s="95"/>
      <c r="J126" s="150" t="s">
        <v>4795</v>
      </c>
      <c r="K126" s="98"/>
      <c r="L126" s="98"/>
      <c r="M126" s="98"/>
      <c r="N126" s="98"/>
      <c r="P126" s="95"/>
      <c r="Q126" s="4356"/>
      <c r="R126" s="4356"/>
      <c r="S126" s="4356"/>
      <c r="T126" s="4356"/>
      <c r="U126" s="95"/>
      <c r="V126" s="521"/>
      <c r="W126" s="521"/>
      <c r="X126" s="99"/>
      <c r="AA126" s="40"/>
      <c r="AB126" s="40"/>
    </row>
    <row r="127" spans="1:28" s="96" customFormat="1" ht="11.85" customHeight="1">
      <c r="A127" s="141"/>
      <c r="B127" s="98"/>
      <c r="C127" s="98"/>
      <c r="D127" s="95"/>
      <c r="F127" s="98"/>
      <c r="G127" s="98" t="s">
        <v>4796</v>
      </c>
      <c r="I127" s="95"/>
      <c r="J127" s="150" t="s">
        <v>4797</v>
      </c>
      <c r="K127" s="98"/>
      <c r="L127" s="98"/>
      <c r="M127" s="98"/>
      <c r="P127" s="95"/>
      <c r="Q127" s="4356"/>
      <c r="R127" s="4356"/>
      <c r="S127" s="4356"/>
      <c r="T127" s="4356"/>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85" customHeight="1">
      <c r="A129" s="141"/>
      <c r="B129" s="98"/>
      <c r="C129" s="98"/>
      <c r="D129" s="98" t="s">
        <v>4798</v>
      </c>
      <c r="F129" s="98" t="s">
        <v>4659</v>
      </c>
      <c r="G129" s="98" t="s">
        <v>4799</v>
      </c>
      <c r="I129" s="95"/>
      <c r="J129" s="98" t="s">
        <v>4800</v>
      </c>
      <c r="K129" s="98"/>
      <c r="L129" s="98"/>
      <c r="M129" s="98"/>
      <c r="N129" s="98"/>
      <c r="O129" s="98"/>
      <c r="P129" s="95"/>
      <c r="Q129" s="4357">
        <v>0.15</v>
      </c>
      <c r="R129" s="4357"/>
      <c r="S129" s="95"/>
      <c r="T129" s="95"/>
      <c r="U129" s="95"/>
      <c r="V129" s="521"/>
      <c r="W129" s="521"/>
      <c r="X129" s="99"/>
      <c r="AA129" s="40"/>
      <c r="AB129" s="40"/>
    </row>
    <row r="130" spans="1:28" s="96" customFormat="1" ht="11.85" customHeight="1">
      <c r="A130" s="98"/>
      <c r="B130" s="98"/>
      <c r="C130" s="98"/>
      <c r="D130" s="95"/>
      <c r="E130" s="95"/>
      <c r="F130" s="98"/>
      <c r="G130" s="98" t="s">
        <v>2019</v>
      </c>
      <c r="H130" s="98" t="s">
        <v>4801</v>
      </c>
      <c r="J130" s="98" t="s">
        <v>4802</v>
      </c>
      <c r="K130" s="98"/>
      <c r="L130" s="98"/>
      <c r="M130" s="98"/>
      <c r="O130" s="143" t="s">
        <v>4803</v>
      </c>
      <c r="P130" s="95"/>
      <c r="Q130" s="4358">
        <v>1105000</v>
      </c>
      <c r="R130" s="4358"/>
      <c r="S130" s="142"/>
      <c r="T130" s="142"/>
      <c r="U130" s="95"/>
      <c r="V130" s="222"/>
      <c r="W130" s="222"/>
      <c r="X130" s="222"/>
      <c r="AA130" s="40"/>
      <c r="AB130" s="40"/>
    </row>
    <row r="131" spans="1:28" s="96" customFormat="1" ht="11.85" customHeight="1">
      <c r="A131" s="98"/>
      <c r="B131" s="98"/>
      <c r="C131" s="98"/>
      <c r="D131" s="95"/>
      <c r="E131" s="95"/>
      <c r="F131" s="98"/>
      <c r="G131" s="98"/>
      <c r="H131" s="98" t="s">
        <v>4804</v>
      </c>
      <c r="J131" s="98" t="s">
        <v>4802</v>
      </c>
      <c r="K131" s="98"/>
      <c r="L131" s="98"/>
      <c r="M131" s="98"/>
      <c r="O131" s="143" t="s">
        <v>4805</v>
      </c>
      <c r="P131" s="95"/>
      <c r="Q131" s="4362">
        <v>1225000</v>
      </c>
      <c r="R131" s="4362"/>
      <c r="S131" s="142"/>
      <c r="T131" s="142"/>
      <c r="U131" s="95"/>
      <c r="V131" s="222"/>
      <c r="W131" s="222"/>
      <c r="X131" s="222"/>
      <c r="AA131" s="40"/>
      <c r="AB131" s="40"/>
    </row>
    <row r="132" spans="1:28" s="96" customFormat="1" ht="11.85" customHeight="1">
      <c r="A132" s="98"/>
      <c r="B132" s="98"/>
      <c r="C132" s="98"/>
      <c r="D132" s="95"/>
      <c r="E132" s="95"/>
      <c r="F132" s="98"/>
      <c r="G132" s="98"/>
      <c r="H132" s="98" t="s">
        <v>4806</v>
      </c>
      <c r="I132" s="95"/>
      <c r="J132" s="98" t="s">
        <v>4802</v>
      </c>
      <c r="K132" s="98"/>
      <c r="O132" s="143" t="s">
        <v>4807</v>
      </c>
      <c r="Q132" s="4362">
        <v>1105000</v>
      </c>
      <c r="R132" s="4362"/>
      <c r="S132" s="142"/>
      <c r="T132" s="142"/>
      <c r="U132" s="95"/>
      <c r="V132" s="222"/>
      <c r="W132" s="222"/>
      <c r="X132" s="222"/>
      <c r="AA132" s="40"/>
      <c r="AB132" s="40"/>
    </row>
    <row r="133" spans="1:28" s="96" customFormat="1" ht="11.85" customHeight="1">
      <c r="A133" s="98"/>
      <c r="B133" s="98"/>
      <c r="C133" s="98"/>
      <c r="D133" s="95"/>
      <c r="E133" s="95"/>
      <c r="F133" s="98"/>
      <c r="G133" s="98"/>
      <c r="H133" s="98" t="s">
        <v>4808</v>
      </c>
      <c r="I133" s="95"/>
      <c r="J133" s="98" t="s">
        <v>4802</v>
      </c>
      <c r="K133" s="98"/>
      <c r="O133" s="143" t="s">
        <v>4805</v>
      </c>
      <c r="Q133" s="4363">
        <v>1105000</v>
      </c>
      <c r="R133" s="4364"/>
      <c r="S133" s="142"/>
      <c r="T133" s="142"/>
      <c r="U133" s="95"/>
      <c r="V133" s="222"/>
      <c r="W133" s="222"/>
      <c r="X133" s="222"/>
      <c r="AA133" s="40"/>
      <c r="AB133" s="40"/>
    </row>
    <row r="134" spans="1:28" s="96" customFormat="1" ht="11.85" customHeight="1">
      <c r="A134" s="98"/>
      <c r="B134" s="98"/>
      <c r="C134" s="98"/>
      <c r="D134" s="95"/>
      <c r="E134" s="95"/>
      <c r="F134" s="98"/>
      <c r="G134" s="98" t="s">
        <v>1254</v>
      </c>
      <c r="H134" s="137" t="s">
        <v>4809</v>
      </c>
      <c r="I134" s="95"/>
      <c r="J134" s="137" t="s">
        <v>4800</v>
      </c>
      <c r="K134" s="98"/>
      <c r="L134" s="98"/>
      <c r="M134" s="98"/>
      <c r="O134" s="98"/>
      <c r="P134" s="98"/>
      <c r="Q134" s="98"/>
      <c r="R134" s="98"/>
      <c r="S134" s="142"/>
      <c r="T134" s="142"/>
      <c r="U134" s="95"/>
      <c r="V134" s="222"/>
      <c r="W134" s="222"/>
      <c r="X134" s="222"/>
      <c r="AA134" s="40"/>
      <c r="AB134" s="40"/>
    </row>
    <row r="135" spans="1:28" ht="12.75" customHeight="1">
      <c r="G135" s="1378"/>
      <c r="H135" s="98" t="s">
        <v>4688</v>
      </c>
      <c r="J135" s="4343">
        <v>0.35</v>
      </c>
      <c r="K135" s="4343"/>
      <c r="L135" s="98"/>
      <c r="M135" s="98"/>
      <c r="N135" s="98"/>
      <c r="O135" s="98"/>
      <c r="P135" s="98"/>
      <c r="Q135" s="98"/>
      <c r="R135" s="98"/>
    </row>
    <row r="136" spans="1:28" ht="11.25" customHeight="1">
      <c r="G136" s="98"/>
      <c r="H136" s="98" t="s">
        <v>4810</v>
      </c>
      <c r="I136" s="95"/>
      <c r="J136" s="4344">
        <v>0.35</v>
      </c>
      <c r="K136" s="4344"/>
      <c r="L136" s="98"/>
      <c r="M136" s="98"/>
      <c r="N136" s="98"/>
      <c r="O136" s="98"/>
      <c r="P136" s="98"/>
      <c r="Q136" s="98"/>
      <c r="R136" s="98"/>
    </row>
    <row r="137" spans="1:28" ht="11.25" customHeight="1">
      <c r="A137" s="141"/>
      <c r="G137" s="98"/>
      <c r="H137" s="98" t="s">
        <v>4811</v>
      </c>
      <c r="I137" s="95"/>
      <c r="J137" s="4376">
        <v>0.3</v>
      </c>
      <c r="K137" s="4376"/>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4812</v>
      </c>
      <c r="E139" s="95"/>
      <c r="G139" s="98" t="s">
        <v>4813</v>
      </c>
      <c r="I139" s="95"/>
      <c r="J139" s="98" t="s">
        <v>4814</v>
      </c>
      <c r="Q139" s="1489"/>
      <c r="R139" s="1489"/>
      <c r="S139" s="95"/>
      <c r="T139" s="95"/>
      <c r="U139" s="95"/>
      <c r="V139" s="521"/>
      <c r="W139" s="521"/>
      <c r="X139" s="99"/>
      <c r="AA139" s="40"/>
      <c r="AB139" s="40"/>
    </row>
    <row r="140" spans="1:28" s="96" customFormat="1" ht="11.25" customHeight="1">
      <c r="A140" s="141"/>
      <c r="B140" s="98"/>
      <c r="C140" s="98"/>
      <c r="D140" s="95"/>
      <c r="E140" s="95"/>
      <c r="G140" s="98" t="s">
        <v>4815</v>
      </c>
      <c r="I140" s="95"/>
      <c r="J140" s="98" t="s">
        <v>4816</v>
      </c>
      <c r="P140" s="482" t="s">
        <v>4817</v>
      </c>
      <c r="Q140" s="4365">
        <v>30000000</v>
      </c>
      <c r="R140" s="4365"/>
      <c r="S140" s="95"/>
      <c r="T140" s="95"/>
      <c r="U140" s="95"/>
      <c r="V140" s="521"/>
      <c r="W140" s="521"/>
      <c r="X140" s="99"/>
      <c r="AA140" s="40"/>
      <c r="AB140" s="40"/>
    </row>
    <row r="141" spans="1:28" s="96" customFormat="1" ht="11.25" customHeight="1">
      <c r="A141" s="141"/>
      <c r="B141" s="98"/>
      <c r="C141" s="98"/>
      <c r="D141" s="95"/>
      <c r="E141" s="95"/>
      <c r="G141" s="98" t="s">
        <v>4818</v>
      </c>
      <c r="I141" s="95"/>
      <c r="J141" s="98" t="s">
        <v>4819</v>
      </c>
      <c r="S141" s="95"/>
      <c r="T141" s="95"/>
      <c r="U141" s="95"/>
      <c r="V141" s="521"/>
      <c r="W141" s="521"/>
      <c r="X141" s="99"/>
      <c r="AA141" s="40"/>
      <c r="AB141" s="40"/>
    </row>
    <row r="142" spans="1:28" s="96" customFormat="1" ht="11.25" customHeight="1">
      <c r="A142" s="141"/>
      <c r="B142" s="98"/>
      <c r="C142" s="98"/>
      <c r="D142" s="95"/>
      <c r="E142" s="95"/>
      <c r="G142" s="98"/>
      <c r="I142" s="95"/>
      <c r="J142" s="658" t="s">
        <v>4820</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85" customHeight="1">
      <c r="A144" s="98"/>
      <c r="B144" s="98"/>
      <c r="C144" s="98"/>
      <c r="D144" s="95"/>
      <c r="E144" s="95"/>
      <c r="G144" s="98" t="s">
        <v>4821</v>
      </c>
      <c r="H144" s="98"/>
      <c r="I144" s="95"/>
      <c r="J144" s="98" t="s">
        <v>4822</v>
      </c>
      <c r="K144" s="98"/>
      <c r="L144" s="98"/>
      <c r="M144" s="98"/>
      <c r="N144" s="98"/>
      <c r="O144" s="98"/>
      <c r="P144" s="95"/>
      <c r="Q144" s="4366"/>
      <c r="R144" s="4367"/>
      <c r="S144" s="142"/>
      <c r="T144" s="142"/>
      <c r="U144" s="95"/>
      <c r="V144" s="222"/>
      <c r="W144" s="222"/>
      <c r="X144" s="222"/>
      <c r="AA144" s="40"/>
      <c r="AB144" s="40"/>
    </row>
    <row r="145" spans="1:28" s="96" customFormat="1" ht="11.85" customHeight="1">
      <c r="A145" s="98"/>
      <c r="B145" s="98"/>
      <c r="C145" s="98"/>
      <c r="D145" s="95"/>
      <c r="E145" s="95"/>
      <c r="F145" s="98" t="s">
        <v>4670</v>
      </c>
      <c r="G145" s="98" t="s">
        <v>2067</v>
      </c>
      <c r="I145" s="95"/>
      <c r="J145" s="98" t="s">
        <v>4823</v>
      </c>
      <c r="K145" s="98"/>
      <c r="L145" s="98"/>
      <c r="M145" s="98"/>
      <c r="N145" s="98"/>
      <c r="O145" s="98"/>
      <c r="P145" s="95"/>
      <c r="Q145" s="4368">
        <v>4000000</v>
      </c>
      <c r="R145" s="4368"/>
      <c r="S145" s="142"/>
      <c r="T145" s="142"/>
      <c r="U145" s="95"/>
      <c r="V145" s="222"/>
      <c r="W145" s="222"/>
      <c r="X145" s="222"/>
      <c r="AA145" s="40"/>
      <c r="AB145" s="40"/>
    </row>
    <row r="146" spans="1:28" s="96" customFormat="1" ht="11.85" customHeight="1">
      <c r="A146" s="98"/>
      <c r="B146" s="98"/>
      <c r="C146" s="98"/>
      <c r="D146" s="95"/>
      <c r="E146" s="95"/>
      <c r="F146" s="98"/>
      <c r="G146" s="98" t="s">
        <v>4824</v>
      </c>
      <c r="H146" s="95"/>
      <c r="I146" s="95"/>
      <c r="J146" s="98" t="s">
        <v>4802</v>
      </c>
      <c r="K146" s="98"/>
      <c r="O146" s="98" t="s">
        <v>4825</v>
      </c>
      <c r="Q146" s="4363">
        <v>1035000</v>
      </c>
      <c r="R146" s="4364"/>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4826</v>
      </c>
      <c r="B148" s="98"/>
      <c r="C148" s="98"/>
      <c r="D148" s="95"/>
      <c r="E148" s="95"/>
      <c r="F148" s="98" t="s">
        <v>4827</v>
      </c>
      <c r="G148" s="98"/>
      <c r="H148" s="95"/>
      <c r="I148" s="95"/>
      <c r="J148" s="98" t="s">
        <v>4828</v>
      </c>
      <c r="K148" s="98"/>
      <c r="L148" s="98"/>
      <c r="M148" s="98"/>
      <c r="N148" s="98"/>
      <c r="O148" s="98"/>
      <c r="P148" s="95"/>
      <c r="Q148" s="4369">
        <v>0.05</v>
      </c>
      <c r="R148" s="4369"/>
      <c r="S148" s="95"/>
      <c r="T148" s="95"/>
      <c r="U148" s="95"/>
      <c r="V148" s="521"/>
      <c r="W148" s="521"/>
      <c r="X148" s="99"/>
      <c r="AA148" s="40"/>
      <c r="AB148" s="40"/>
    </row>
    <row r="149" spans="1:28" s="96" customFormat="1" ht="12.75" customHeight="1">
      <c r="A149" s="141"/>
      <c r="B149" s="98"/>
      <c r="C149" s="98"/>
      <c r="D149" s="95"/>
      <c r="E149" s="95"/>
      <c r="F149" s="98"/>
      <c r="G149" s="98" t="s">
        <v>4829</v>
      </c>
      <c r="H149" s="95"/>
      <c r="I149" s="95"/>
      <c r="J149" s="98" t="s">
        <v>4830</v>
      </c>
      <c r="K149" s="98"/>
      <c r="L149" s="98"/>
      <c r="M149" s="98"/>
      <c r="N149" s="98"/>
      <c r="O149" s="98"/>
      <c r="P149" s="95"/>
      <c r="Q149" s="4359">
        <v>0.4</v>
      </c>
      <c r="R149" s="4359"/>
      <c r="S149" s="95"/>
      <c r="T149" s="95"/>
      <c r="U149" s="95"/>
      <c r="V149" s="521"/>
      <c r="W149" s="521"/>
      <c r="X149" s="99"/>
      <c r="AA149" s="40"/>
      <c r="AB149" s="40"/>
    </row>
    <row r="150" spans="1:28" s="96" customFormat="1" ht="12.75" customHeight="1">
      <c r="A150" s="141"/>
      <c r="B150" s="98"/>
      <c r="C150" s="98"/>
      <c r="E150" s="95"/>
      <c r="F150" s="98" t="s">
        <v>4831</v>
      </c>
      <c r="G150" s="98"/>
      <c r="H150" s="95"/>
      <c r="I150" s="95"/>
      <c r="J150" s="98" t="s">
        <v>4828</v>
      </c>
      <c r="K150" s="98"/>
      <c r="L150" s="98"/>
      <c r="M150" s="98"/>
      <c r="N150" s="98"/>
      <c r="O150" s="98"/>
      <c r="P150" s="95"/>
      <c r="Q150" s="4360">
        <v>0.02</v>
      </c>
      <c r="R150" s="4360"/>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70" t="s">
        <v>4832</v>
      </c>
      <c r="B152" s="4370"/>
      <c r="C152" s="2887">
        <v>2024</v>
      </c>
      <c r="D152" s="4371" t="s">
        <v>4833</v>
      </c>
      <c r="E152" s="1776" t="s">
        <v>4834</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70"/>
      <c r="B153" s="4370"/>
      <c r="D153" s="4372"/>
      <c r="E153" s="1777" t="s">
        <v>4835</v>
      </c>
      <c r="F153" s="148"/>
      <c r="G153" s="148"/>
      <c r="H153" s="148"/>
      <c r="I153" s="148"/>
    </row>
    <row r="154" spans="1:28" ht="13.5">
      <c r="A154" s="4370"/>
      <c r="B154" s="4370"/>
      <c r="C154" s="98"/>
      <c r="D154" s="4372"/>
      <c r="H154" s="4373" t="s">
        <v>4836</v>
      </c>
      <c r="J154" s="93" t="s">
        <v>4837</v>
      </c>
      <c r="K154" s="93"/>
      <c r="L154" s="135"/>
    </row>
    <row r="155" spans="1:28" ht="13.5">
      <c r="A155" s="4370"/>
      <c r="B155" s="4370"/>
      <c r="C155" s="521" t="s">
        <v>4838</v>
      </c>
      <c r="D155" s="887" t="s">
        <v>1268</v>
      </c>
      <c r="F155" s="521" t="s">
        <v>4839</v>
      </c>
      <c r="H155" s="4374"/>
      <c r="J155" s="214" t="s">
        <v>4838</v>
      </c>
      <c r="K155" s="214" t="s">
        <v>4840</v>
      </c>
      <c r="L155" s="2516" t="s">
        <v>4841</v>
      </c>
    </row>
    <row r="156" spans="1:28" ht="10.5" customHeight="1">
      <c r="C156" s="222">
        <v>0</v>
      </c>
      <c r="D156" s="486">
        <v>75620</v>
      </c>
      <c r="E156" s="2591" t="s">
        <v>4842</v>
      </c>
      <c r="F156" s="1375">
        <v>2.4</v>
      </c>
      <c r="G156" s="2596" t="s">
        <v>740</v>
      </c>
      <c r="H156" s="1376">
        <f>D156*F156</f>
        <v>181488</v>
      </c>
      <c r="J156" s="222">
        <v>0</v>
      </c>
      <c r="K156" s="222">
        <v>0.7</v>
      </c>
      <c r="L156" s="222">
        <v>1</v>
      </c>
    </row>
    <row r="157" spans="1:28" ht="10.5" customHeight="1">
      <c r="C157" s="222">
        <v>1</v>
      </c>
      <c r="D157" s="486">
        <v>86687</v>
      </c>
      <c r="E157" s="2591" t="s">
        <v>4842</v>
      </c>
      <c r="F157" s="1375">
        <v>2.4</v>
      </c>
      <c r="G157" s="2596" t="s">
        <v>740</v>
      </c>
      <c r="H157" s="1376">
        <f t="shared" ref="H157:H160" si="0">D157*F157</f>
        <v>208048.8</v>
      </c>
      <c r="J157" s="222">
        <v>1</v>
      </c>
      <c r="K157" s="222">
        <v>0.75</v>
      </c>
      <c r="L157" s="222">
        <v>1.5</v>
      </c>
    </row>
    <row r="158" spans="1:28" ht="10.5" customHeight="1">
      <c r="C158" s="222">
        <v>2</v>
      </c>
      <c r="D158" s="486">
        <v>105414</v>
      </c>
      <c r="E158" s="2591" t="s">
        <v>4842</v>
      </c>
      <c r="F158" s="1375">
        <v>2.4</v>
      </c>
      <c r="G158" s="2596" t="s">
        <v>740</v>
      </c>
      <c r="H158" s="1376">
        <f t="shared" si="0"/>
        <v>252993.59999999998</v>
      </c>
      <c r="J158" s="222">
        <v>2</v>
      </c>
      <c r="K158" s="222">
        <v>0.9</v>
      </c>
      <c r="L158" s="222">
        <v>3</v>
      </c>
    </row>
    <row r="159" spans="1:28" ht="10.5" customHeight="1">
      <c r="C159" s="222">
        <v>3</v>
      </c>
      <c r="D159" s="486">
        <v>136372</v>
      </c>
      <c r="E159" s="2591" t="s">
        <v>4842</v>
      </c>
      <c r="F159" s="1375">
        <v>2.4</v>
      </c>
      <c r="G159" s="2596" t="s">
        <v>740</v>
      </c>
      <c r="H159" s="1376">
        <f t="shared" si="0"/>
        <v>327292.79999999999</v>
      </c>
      <c r="J159" s="222">
        <v>3</v>
      </c>
      <c r="K159" s="222">
        <v>1.04</v>
      </c>
      <c r="L159" s="222">
        <v>4.5</v>
      </c>
    </row>
    <row r="160" spans="1:28" ht="10.5" customHeight="1">
      <c r="C160" s="222" t="s">
        <v>4843</v>
      </c>
      <c r="D160" s="486">
        <v>149693</v>
      </c>
      <c r="E160" s="2591" t="s">
        <v>4842</v>
      </c>
      <c r="F160" s="1375">
        <v>2.4</v>
      </c>
      <c r="G160" s="2596" t="s">
        <v>740</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75" t="s">
        <v>4844</v>
      </c>
      <c r="E163" s="146"/>
      <c r="F163" s="146"/>
    </row>
    <row r="164" spans="2:37" ht="10.5" customHeight="1">
      <c r="C164" s="4375"/>
      <c r="E164" s="146"/>
      <c r="F164" s="146"/>
    </row>
    <row r="165" spans="2:37" ht="10.5" customHeight="1">
      <c r="C165" s="4375"/>
      <c r="D165" s="674"/>
      <c r="E165" s="333"/>
      <c r="F165" s="146"/>
    </row>
    <row r="166" spans="2:37" ht="27.75" customHeight="1">
      <c r="C166" s="273" t="s">
        <v>1147</v>
      </c>
      <c r="D166" s="213"/>
      <c r="E166" s="146"/>
      <c r="F166" s="307" t="s">
        <v>192</v>
      </c>
      <c r="G166" s="307" t="s">
        <v>1994</v>
      </c>
      <c r="H166" s="307" t="s">
        <v>4845</v>
      </c>
      <c r="I166" s="307" t="s">
        <v>4846</v>
      </c>
      <c r="J166" s="307" t="s">
        <v>4847</v>
      </c>
      <c r="K166" s="307" t="s">
        <v>4848</v>
      </c>
      <c r="L166" s="308" t="s">
        <v>4849</v>
      </c>
      <c r="M166" s="1345" t="s">
        <v>4850</v>
      </c>
      <c r="N166" s="308" t="s">
        <v>4851</v>
      </c>
      <c r="O166" s="308" t="s">
        <v>4852</v>
      </c>
      <c r="P166" s="307" t="s">
        <v>4853</v>
      </c>
      <c r="Q166" s="307"/>
      <c r="R166" s="98"/>
      <c r="S166" s="146"/>
      <c r="T166" s="804" t="s">
        <v>47</v>
      </c>
      <c r="U166" s="309" t="s">
        <v>49</v>
      </c>
      <c r="W166" s="327"/>
      <c r="Z166" s="25"/>
      <c r="AA166" s="25"/>
      <c r="AB166" s="77"/>
      <c r="AC166" s="40"/>
      <c r="AD166" s="40"/>
      <c r="AE166" s="77"/>
      <c r="AF166" s="77"/>
      <c r="AG166" s="77"/>
      <c r="AH166" s="77"/>
      <c r="AI166" s="77"/>
      <c r="AJ166" s="77"/>
      <c r="AK166" s="77"/>
    </row>
    <row r="167" spans="2:37" ht="10.5" customHeight="1">
      <c r="B167" s="146"/>
      <c r="C167" s="211" t="s">
        <v>2057</v>
      </c>
      <c r="D167" s="247"/>
      <c r="E167" s="146"/>
      <c r="F167" s="146" t="s">
        <v>290</v>
      </c>
      <c r="G167" s="578" t="s">
        <v>4854</v>
      </c>
      <c r="H167" s="578" t="s">
        <v>4855</v>
      </c>
      <c r="I167" s="579" t="s">
        <v>4856</v>
      </c>
      <c r="J167" s="579" t="s">
        <v>4690</v>
      </c>
      <c r="K167" s="580" t="s">
        <v>4857</v>
      </c>
      <c r="L167" s="581" t="s">
        <v>4858</v>
      </c>
      <c r="M167" s="1346" t="s">
        <v>4688</v>
      </c>
      <c r="N167" s="581" t="s">
        <v>4859</v>
      </c>
      <c r="O167" s="721" t="s">
        <v>4860</v>
      </c>
      <c r="P167" s="150" t="s">
        <v>4861</v>
      </c>
      <c r="Q167" s="150"/>
      <c r="R167" s="98"/>
      <c r="S167" s="146"/>
      <c r="T167" s="279" t="s">
        <v>48</v>
      </c>
      <c r="U167" s="279" t="s">
        <v>4862</v>
      </c>
      <c r="W167" s="25"/>
      <c r="X167" s="25"/>
      <c r="Z167" s="25"/>
      <c r="AA167" s="77"/>
      <c r="AB167" s="77"/>
      <c r="AC167" s="272"/>
      <c r="AD167" s="40"/>
      <c r="AE167" s="77"/>
      <c r="AF167" s="77"/>
      <c r="AG167" s="77"/>
      <c r="AH167" s="77"/>
      <c r="AI167" s="77"/>
      <c r="AJ167" s="77"/>
      <c r="AK167" s="77"/>
    </row>
    <row r="168" spans="2:37" ht="10.5" customHeight="1">
      <c r="B168" s="146"/>
      <c r="C168" s="211" t="s">
        <v>4856</v>
      </c>
      <c r="D168" s="247"/>
      <c r="E168" s="146"/>
      <c r="F168" s="146" t="s">
        <v>289</v>
      </c>
      <c r="G168" s="578" t="s">
        <v>4863</v>
      </c>
      <c r="H168" s="578" t="s">
        <v>4855</v>
      </c>
      <c r="I168" s="579" t="s">
        <v>4864</v>
      </c>
      <c r="J168" s="579" t="s">
        <v>4690</v>
      </c>
      <c r="K168" s="580" t="s">
        <v>4865</v>
      </c>
      <c r="L168" s="581" t="s">
        <v>4858</v>
      </c>
      <c r="M168" s="1346" t="s">
        <v>4688</v>
      </c>
      <c r="N168" s="581" t="s">
        <v>2143</v>
      </c>
      <c r="O168" s="721" t="s">
        <v>4866</v>
      </c>
      <c r="P168" s="150" t="s">
        <v>4867</v>
      </c>
      <c r="Q168" s="150"/>
      <c r="R168" s="98"/>
      <c r="S168" s="146"/>
      <c r="T168" s="279" t="s">
        <v>4868</v>
      </c>
      <c r="U168" s="279" t="s">
        <v>4869</v>
      </c>
      <c r="W168" s="25"/>
      <c r="X168" s="25"/>
      <c r="Z168" s="25"/>
      <c r="AA168" s="77"/>
      <c r="AB168" s="77"/>
      <c r="AC168" s="272"/>
      <c r="AD168" s="40"/>
      <c r="AE168" s="77"/>
      <c r="AF168" s="77"/>
      <c r="AG168" s="77"/>
      <c r="AH168" s="77"/>
      <c r="AI168" s="77"/>
      <c r="AJ168" s="77"/>
      <c r="AK168" s="77"/>
    </row>
    <row r="169" spans="2:37" ht="10.5" customHeight="1">
      <c r="B169" s="146"/>
      <c r="C169" s="211" t="s">
        <v>2065</v>
      </c>
      <c r="D169" s="247"/>
      <c r="E169" s="146"/>
      <c r="F169" s="146" t="s">
        <v>292</v>
      </c>
      <c r="G169" s="578" t="s">
        <v>4870</v>
      </c>
      <c r="H169" s="578" t="s">
        <v>4855</v>
      </c>
      <c r="I169" s="579" t="s">
        <v>4871</v>
      </c>
      <c r="J169" s="579" t="s">
        <v>4690</v>
      </c>
      <c r="K169" s="580" t="s">
        <v>4872</v>
      </c>
      <c r="L169" s="581" t="s">
        <v>4858</v>
      </c>
      <c r="M169" s="1346" t="s">
        <v>4688</v>
      </c>
      <c r="N169" s="581" t="s">
        <v>2143</v>
      </c>
      <c r="O169" s="721" t="s">
        <v>4873</v>
      </c>
      <c r="P169" s="150" t="s">
        <v>4874</v>
      </c>
      <c r="Q169" s="150"/>
      <c r="R169" s="98"/>
      <c r="S169" s="146"/>
      <c r="T169" s="279" t="s">
        <v>4875</v>
      </c>
      <c r="U169" s="279" t="s">
        <v>109</v>
      </c>
      <c r="W169" s="25"/>
      <c r="X169" s="25"/>
      <c r="Z169" s="25"/>
      <c r="AA169" s="77"/>
      <c r="AB169" s="77"/>
      <c r="AC169" s="272"/>
      <c r="AD169" s="40"/>
      <c r="AE169" s="77"/>
      <c r="AF169" s="77"/>
      <c r="AG169" s="77"/>
      <c r="AH169" s="77"/>
      <c r="AI169" s="77"/>
      <c r="AJ169" s="77"/>
      <c r="AK169" s="77"/>
    </row>
    <row r="170" spans="2:37" ht="10.5" customHeight="1">
      <c r="B170" s="146"/>
      <c r="C170" s="211" t="s">
        <v>4864</v>
      </c>
      <c r="D170" s="247"/>
      <c r="E170" s="146"/>
      <c r="F170" s="146" t="s">
        <v>291</v>
      </c>
      <c r="G170" s="578" t="s">
        <v>4876</v>
      </c>
      <c r="H170" s="578" t="s">
        <v>4855</v>
      </c>
      <c r="I170" s="582" t="s">
        <v>4877</v>
      </c>
      <c r="J170" s="582" t="s">
        <v>4690</v>
      </c>
      <c r="K170" s="580" t="s">
        <v>4878</v>
      </c>
      <c r="L170" s="581" t="s">
        <v>4879</v>
      </c>
      <c r="M170" s="1346" t="s">
        <v>4685</v>
      </c>
      <c r="N170" s="581" t="s">
        <v>2057</v>
      </c>
      <c r="O170" s="721" t="s">
        <v>4880</v>
      </c>
      <c r="P170" s="150" t="s">
        <v>4881</v>
      </c>
      <c r="Q170" s="150"/>
      <c r="R170" s="98"/>
      <c r="S170" s="146"/>
      <c r="T170" s="279" t="s">
        <v>4882</v>
      </c>
      <c r="U170" s="279" t="s">
        <v>4883</v>
      </c>
      <c r="W170" s="25"/>
      <c r="X170" s="25"/>
      <c r="Z170" s="25"/>
      <c r="AA170" s="77"/>
      <c r="AB170" s="77"/>
      <c r="AC170" s="272"/>
      <c r="AD170" s="40"/>
      <c r="AE170" s="77"/>
      <c r="AF170" s="77"/>
      <c r="AG170" s="77"/>
      <c r="AH170" s="77"/>
      <c r="AI170" s="77"/>
      <c r="AJ170" s="77"/>
      <c r="AK170" s="77"/>
    </row>
    <row r="171" spans="2:37" ht="10.5" customHeight="1">
      <c r="B171" s="146"/>
      <c r="C171" s="211" t="s">
        <v>4884</v>
      </c>
      <c r="D171" s="247"/>
      <c r="E171" s="146"/>
      <c r="F171" s="146" t="s">
        <v>293</v>
      </c>
      <c r="G171" s="578" t="s">
        <v>4885</v>
      </c>
      <c r="H171" s="578" t="s">
        <v>4855</v>
      </c>
      <c r="I171" s="582" t="s">
        <v>4886</v>
      </c>
      <c r="J171" s="582" t="s">
        <v>4690</v>
      </c>
      <c r="K171" s="580" t="s">
        <v>4887</v>
      </c>
      <c r="L171" s="581" t="s">
        <v>4858</v>
      </c>
      <c r="M171" s="1346" t="s">
        <v>4688</v>
      </c>
      <c r="N171" s="581" t="s">
        <v>4888</v>
      </c>
      <c r="O171" s="721" t="s">
        <v>4889</v>
      </c>
      <c r="P171" s="150" t="s">
        <v>4890</v>
      </c>
      <c r="Q171" s="150"/>
      <c r="R171" s="98"/>
      <c r="S171" s="146"/>
      <c r="T171" s="279" t="s">
        <v>2053</v>
      </c>
      <c r="U171" s="279" t="s">
        <v>4891</v>
      </c>
      <c r="W171" s="25"/>
      <c r="X171" s="25"/>
      <c r="Z171" s="25"/>
      <c r="AA171" s="77"/>
      <c r="AB171" s="77"/>
      <c r="AC171" s="272"/>
      <c r="AD171" s="40"/>
      <c r="AE171" s="77"/>
      <c r="AF171" s="77"/>
      <c r="AG171" s="77"/>
      <c r="AH171" s="77"/>
      <c r="AI171" s="77"/>
      <c r="AJ171" s="77"/>
      <c r="AK171" s="77"/>
    </row>
    <row r="172" spans="2:37" ht="10.5" customHeight="1">
      <c r="B172" s="146"/>
      <c r="C172" s="211" t="s">
        <v>4892</v>
      </c>
      <c r="D172" s="247"/>
      <c r="E172" s="146"/>
      <c r="F172" s="146" t="s">
        <v>294</v>
      </c>
      <c r="G172" s="578" t="s">
        <v>4893</v>
      </c>
      <c r="H172" s="578" t="s">
        <v>4894</v>
      </c>
      <c r="I172" s="579" t="s">
        <v>4895</v>
      </c>
      <c r="J172" s="579" t="s">
        <v>4690</v>
      </c>
      <c r="K172" s="580" t="s">
        <v>4896</v>
      </c>
      <c r="L172" s="581" t="s">
        <v>4858</v>
      </c>
      <c r="M172" s="1346" t="s">
        <v>4688</v>
      </c>
      <c r="N172" s="581" t="s">
        <v>4897</v>
      </c>
      <c r="O172" s="721" t="s">
        <v>4898</v>
      </c>
      <c r="P172" s="150" t="s">
        <v>4899</v>
      </c>
      <c r="Q172" s="150"/>
      <c r="R172" s="98"/>
      <c r="S172" s="146"/>
      <c r="T172" s="279" t="s">
        <v>4900</v>
      </c>
      <c r="U172" s="279" t="s">
        <v>4901</v>
      </c>
      <c r="W172" s="25"/>
      <c r="X172" s="25"/>
      <c r="Z172" s="25"/>
      <c r="AA172" s="77"/>
      <c r="AB172" s="77"/>
      <c r="AC172" s="272"/>
      <c r="AD172" s="40"/>
      <c r="AE172" s="77"/>
      <c r="AF172" s="77"/>
      <c r="AG172" s="77"/>
      <c r="AH172" s="77"/>
      <c r="AI172" s="77"/>
      <c r="AJ172" s="77"/>
      <c r="AK172" s="77"/>
    </row>
    <row r="173" spans="2:37" ht="10.5" customHeight="1">
      <c r="B173" s="146"/>
      <c r="C173" s="211" t="s">
        <v>4871</v>
      </c>
      <c r="D173" s="247"/>
      <c r="E173" s="146"/>
      <c r="F173" s="146" t="s">
        <v>295</v>
      </c>
      <c r="G173" s="578" t="s">
        <v>159</v>
      </c>
      <c r="H173" s="578" t="s">
        <v>4894</v>
      </c>
      <c r="I173" s="582" t="s">
        <v>4884</v>
      </c>
      <c r="J173" s="582" t="s">
        <v>4689</v>
      </c>
      <c r="K173" s="580" t="s">
        <v>4902</v>
      </c>
      <c r="L173" s="581" t="s">
        <v>4879</v>
      </c>
      <c r="M173" s="1346" t="s">
        <v>4685</v>
      </c>
      <c r="N173" s="581" t="s">
        <v>4903</v>
      </c>
      <c r="O173" s="721" t="s">
        <v>4904</v>
      </c>
      <c r="P173" s="150" t="s">
        <v>4905</v>
      </c>
      <c r="Q173" s="150"/>
      <c r="R173" s="98"/>
      <c r="S173" s="146"/>
      <c r="T173" s="279" t="s">
        <v>4906</v>
      </c>
      <c r="U173" s="279" t="s">
        <v>138</v>
      </c>
      <c r="W173" s="25"/>
      <c r="X173" s="25"/>
      <c r="Z173" s="25"/>
      <c r="AA173" s="77"/>
      <c r="AB173" s="77"/>
      <c r="AC173" s="272"/>
      <c r="AD173" s="40"/>
      <c r="AE173" s="77"/>
      <c r="AF173" s="77"/>
      <c r="AG173" s="77"/>
      <c r="AH173" s="77"/>
      <c r="AI173" s="77"/>
      <c r="AJ173" s="77"/>
      <c r="AK173" s="77"/>
    </row>
    <row r="174" spans="2:37" ht="10.5" customHeight="1">
      <c r="B174" s="146"/>
      <c r="C174" s="211" t="s">
        <v>4886</v>
      </c>
      <c r="D174" s="247"/>
      <c r="E174" s="146"/>
      <c r="F174" s="146" t="s">
        <v>297</v>
      </c>
      <c r="G174" s="578" t="s">
        <v>4883</v>
      </c>
      <c r="H174" s="578" t="s">
        <v>4894</v>
      </c>
      <c r="I174" s="582" t="s">
        <v>4884</v>
      </c>
      <c r="J174" s="582" t="s">
        <v>4689</v>
      </c>
      <c r="K174" s="580" t="s">
        <v>4902</v>
      </c>
      <c r="L174" s="581" t="s">
        <v>4879</v>
      </c>
      <c r="M174" s="1346" t="s">
        <v>4685</v>
      </c>
      <c r="N174" s="581" t="s">
        <v>4903</v>
      </c>
      <c r="O174" s="721" t="s">
        <v>4907</v>
      </c>
      <c r="P174" s="150" t="s">
        <v>4908</v>
      </c>
      <c r="Q174" s="150"/>
      <c r="R174" s="98"/>
      <c r="S174" s="146"/>
      <c r="T174" s="279" t="s">
        <v>4909</v>
      </c>
      <c r="U174" s="279" t="s">
        <v>4910</v>
      </c>
      <c r="W174" s="25"/>
      <c r="X174" s="25"/>
      <c r="Z174" s="25"/>
      <c r="AA174" s="77"/>
      <c r="AB174" s="77"/>
      <c r="AC174" s="272"/>
      <c r="AD174" s="40"/>
      <c r="AE174" s="77"/>
      <c r="AF174" s="77"/>
      <c r="AG174" s="77"/>
      <c r="AH174" s="77"/>
      <c r="AI174" s="77"/>
      <c r="AJ174" s="77"/>
      <c r="AK174" s="77"/>
    </row>
    <row r="175" spans="2:37" ht="10.5" customHeight="1">
      <c r="B175" s="146"/>
      <c r="C175" s="211" t="s">
        <v>4895</v>
      </c>
      <c r="D175" s="247"/>
      <c r="E175" s="146"/>
      <c r="F175" s="146" t="s">
        <v>296</v>
      </c>
      <c r="G175" s="578" t="s">
        <v>4911</v>
      </c>
      <c r="H175" s="578" t="s">
        <v>4855</v>
      </c>
      <c r="I175" s="579" t="s">
        <v>4912</v>
      </c>
      <c r="J175" s="579" t="s">
        <v>4690</v>
      </c>
      <c r="K175" s="580" t="s">
        <v>4913</v>
      </c>
      <c r="L175" s="581" t="s">
        <v>4858</v>
      </c>
      <c r="M175" s="1346" t="s">
        <v>4688</v>
      </c>
      <c r="N175" s="581" t="s">
        <v>2057</v>
      </c>
      <c r="O175" s="721" t="s">
        <v>4914</v>
      </c>
      <c r="P175" s="150" t="s">
        <v>4915</v>
      </c>
      <c r="Q175" s="279"/>
      <c r="R175" s="98"/>
      <c r="S175" s="146"/>
      <c r="T175" s="279" t="s">
        <v>4916</v>
      </c>
      <c r="U175" s="279" t="s">
        <v>4917</v>
      </c>
      <c r="W175" s="25"/>
      <c r="X175" s="25"/>
      <c r="Z175" s="25"/>
      <c r="AA175" s="77"/>
      <c r="AB175" s="77"/>
      <c r="AC175" s="272"/>
      <c r="AD175" s="40"/>
      <c r="AE175" s="77"/>
      <c r="AF175" s="77"/>
      <c r="AG175" s="77"/>
      <c r="AH175" s="77"/>
      <c r="AI175" s="77"/>
      <c r="AJ175" s="77"/>
      <c r="AK175" s="77"/>
    </row>
    <row r="176" spans="2:37" ht="10.5" customHeight="1">
      <c r="B176" s="146"/>
      <c r="C176" s="212" t="s">
        <v>4918</v>
      </c>
      <c r="D176" s="247"/>
      <c r="E176" s="146"/>
      <c r="F176" s="146" t="s">
        <v>298</v>
      </c>
      <c r="G176" s="578" t="s">
        <v>4917</v>
      </c>
      <c r="H176" s="578" t="s">
        <v>4855</v>
      </c>
      <c r="I176" s="579" t="s">
        <v>4919</v>
      </c>
      <c r="J176" s="579" t="s">
        <v>4690</v>
      </c>
      <c r="K176" s="580" t="s">
        <v>4920</v>
      </c>
      <c r="L176" s="581" t="s">
        <v>4858</v>
      </c>
      <c r="M176" s="1346" t="s">
        <v>4688</v>
      </c>
      <c r="N176" s="581" t="s">
        <v>2143</v>
      </c>
      <c r="O176" s="721" t="s">
        <v>4921</v>
      </c>
      <c r="P176" s="150" t="s">
        <v>4922</v>
      </c>
      <c r="Q176" s="279"/>
      <c r="R176" s="146"/>
      <c r="S176" s="146"/>
      <c r="T176" s="279" t="s">
        <v>2057</v>
      </c>
      <c r="U176" s="279" t="s">
        <v>150</v>
      </c>
      <c r="W176" s="25"/>
      <c r="X176" s="25"/>
      <c r="Z176" s="25"/>
      <c r="AA176" s="77"/>
      <c r="AB176" s="77"/>
      <c r="AC176" s="272"/>
      <c r="AD176" s="40"/>
      <c r="AE176" s="77"/>
      <c r="AF176" s="77"/>
      <c r="AG176" s="77"/>
      <c r="AH176" s="77"/>
      <c r="AI176" s="77"/>
      <c r="AJ176" s="77"/>
      <c r="AK176" s="77"/>
    </row>
    <row r="177" spans="2:37" ht="10.5" customHeight="1">
      <c r="B177" s="146"/>
      <c r="C177" s="212" t="s">
        <v>4919</v>
      </c>
      <c r="D177" s="247"/>
      <c r="E177" s="146"/>
      <c r="F177" s="146" t="s">
        <v>299</v>
      </c>
      <c r="G177" s="578" t="s">
        <v>4923</v>
      </c>
      <c r="H177" s="578" t="s">
        <v>4924</v>
      </c>
      <c r="I177" s="582" t="s">
        <v>4888</v>
      </c>
      <c r="J177" s="582" t="s">
        <v>4689</v>
      </c>
      <c r="K177" s="580" t="s">
        <v>4925</v>
      </c>
      <c r="L177" s="581" t="s">
        <v>4879</v>
      </c>
      <c r="M177" s="1346" t="s">
        <v>4685</v>
      </c>
      <c r="N177" s="581" t="s">
        <v>4888</v>
      </c>
      <c r="O177" s="721" t="s">
        <v>4926</v>
      </c>
      <c r="P177" s="150" t="s">
        <v>4927</v>
      </c>
      <c r="Q177" s="279"/>
      <c r="R177" s="98"/>
      <c r="S177" s="146"/>
      <c r="T177" s="279" t="s">
        <v>4928</v>
      </c>
      <c r="U177" s="279" t="s">
        <v>4929</v>
      </c>
      <c r="W177" s="25"/>
      <c r="X177" s="25"/>
      <c r="Z177" s="25"/>
      <c r="AA177" s="77"/>
      <c r="AB177" s="77"/>
      <c r="AC177" s="272"/>
      <c r="AD177" s="40"/>
      <c r="AE177" s="77"/>
      <c r="AF177" s="77"/>
      <c r="AG177" s="77"/>
      <c r="AH177" s="77"/>
      <c r="AI177" s="77"/>
      <c r="AJ177" s="77"/>
      <c r="AK177" s="77"/>
    </row>
    <row r="178" spans="2:37" ht="10.5" customHeight="1">
      <c r="B178" s="146"/>
      <c r="C178" s="212" t="s">
        <v>4930</v>
      </c>
      <c r="D178" s="247"/>
      <c r="E178" s="146"/>
      <c r="F178" s="146" t="s">
        <v>300</v>
      </c>
      <c r="G178" s="578" t="s">
        <v>4931</v>
      </c>
      <c r="H178" s="578" t="s">
        <v>4855</v>
      </c>
      <c r="I178" s="582" t="s">
        <v>4930</v>
      </c>
      <c r="J178" s="582" t="s">
        <v>4690</v>
      </c>
      <c r="K178" s="580" t="s">
        <v>4932</v>
      </c>
      <c r="L178" s="581" t="s">
        <v>4858</v>
      </c>
      <c r="M178" s="1346" t="s">
        <v>4688</v>
      </c>
      <c r="N178" s="581" t="s">
        <v>4888</v>
      </c>
      <c r="O178" s="721" t="s">
        <v>4933</v>
      </c>
      <c r="P178" s="150" t="s">
        <v>4934</v>
      </c>
      <c r="Q178" s="150"/>
      <c r="R178" s="98"/>
      <c r="S178" s="146"/>
      <c r="T178" s="279" t="s">
        <v>4935</v>
      </c>
      <c r="U178" s="279" t="s">
        <v>112</v>
      </c>
      <c r="W178" s="25"/>
      <c r="X178" s="25"/>
      <c r="Z178" s="25"/>
      <c r="AA178" s="77"/>
      <c r="AB178" s="77"/>
      <c r="AC178" s="272"/>
      <c r="AD178" s="40"/>
      <c r="AE178" s="77"/>
      <c r="AF178" s="77"/>
      <c r="AG178" s="77"/>
      <c r="AH178" s="77"/>
      <c r="AI178" s="77"/>
      <c r="AJ178" s="77"/>
      <c r="AK178" s="77"/>
    </row>
    <row r="179" spans="2:37" ht="10.5" customHeight="1">
      <c r="B179" s="146"/>
      <c r="C179" s="211" t="s">
        <v>4936</v>
      </c>
      <c r="D179" s="247"/>
      <c r="E179" s="146"/>
      <c r="F179" s="146" t="s">
        <v>304</v>
      </c>
      <c r="G179" s="578" t="s">
        <v>4937</v>
      </c>
      <c r="H179" s="578" t="s">
        <v>4855</v>
      </c>
      <c r="I179" s="579" t="s">
        <v>4936</v>
      </c>
      <c r="J179" s="579" t="s">
        <v>4689</v>
      </c>
      <c r="K179" s="580" t="s">
        <v>4938</v>
      </c>
      <c r="L179" s="581" t="s">
        <v>4879</v>
      </c>
      <c r="M179" s="1346" t="s">
        <v>4685</v>
      </c>
      <c r="N179" s="581" t="s">
        <v>2143</v>
      </c>
      <c r="O179" s="721" t="s">
        <v>4939</v>
      </c>
      <c r="P179" s="150" t="s">
        <v>4940</v>
      </c>
      <c r="Q179" s="150"/>
      <c r="R179" s="98"/>
      <c r="S179" s="146"/>
      <c r="T179" s="279" t="s">
        <v>4941</v>
      </c>
      <c r="U179" s="279" t="s">
        <v>4942</v>
      </c>
      <c r="W179" s="25"/>
      <c r="X179" s="25"/>
      <c r="Z179" s="25"/>
      <c r="AA179" s="77"/>
      <c r="AB179" s="77"/>
      <c r="AC179" s="272"/>
      <c r="AD179" s="40"/>
      <c r="AE179" s="77"/>
      <c r="AF179" s="77"/>
      <c r="AG179" s="77"/>
      <c r="AH179" s="77"/>
      <c r="AI179" s="77"/>
      <c r="AJ179" s="77"/>
      <c r="AK179" s="77"/>
    </row>
    <row r="180" spans="2:37" ht="10.5" customHeight="1">
      <c r="B180" s="146"/>
      <c r="C180" s="212" t="s">
        <v>4943</v>
      </c>
      <c r="D180" s="247"/>
      <c r="E180" s="146"/>
      <c r="F180" s="146" t="s">
        <v>301</v>
      </c>
      <c r="G180" s="578" t="s">
        <v>4944</v>
      </c>
      <c r="H180" s="578" t="s">
        <v>4855</v>
      </c>
      <c r="I180" s="579" t="s">
        <v>2143</v>
      </c>
      <c r="J180" s="579" t="s">
        <v>4689</v>
      </c>
      <c r="K180" s="580" t="s">
        <v>4945</v>
      </c>
      <c r="L180" s="581" t="s">
        <v>4879</v>
      </c>
      <c r="M180" s="1346" t="s">
        <v>4685</v>
      </c>
      <c r="N180" s="581" t="s">
        <v>2143</v>
      </c>
      <c r="O180" s="721" t="s">
        <v>4946</v>
      </c>
      <c r="P180" s="150" t="s">
        <v>4947</v>
      </c>
      <c r="Q180" s="150"/>
      <c r="R180" s="98"/>
      <c r="S180" s="146"/>
      <c r="T180" s="279" t="s">
        <v>4948</v>
      </c>
      <c r="U180" s="279" t="s">
        <v>4870</v>
      </c>
      <c r="W180" s="25"/>
      <c r="X180" s="25"/>
      <c r="Z180" s="25"/>
      <c r="AA180" s="77"/>
      <c r="AB180" s="77"/>
      <c r="AC180" s="272"/>
      <c r="AD180" s="40"/>
      <c r="AE180" s="77"/>
      <c r="AF180" s="77"/>
      <c r="AG180" s="77"/>
      <c r="AH180" s="77"/>
      <c r="AI180" s="77"/>
      <c r="AJ180" s="77"/>
      <c r="AK180" s="77"/>
    </row>
    <row r="181" spans="2:37" ht="10.5" customHeight="1">
      <c r="B181" s="146"/>
      <c r="C181" s="211" t="s">
        <v>4949</v>
      </c>
      <c r="D181" s="247"/>
      <c r="E181" s="146"/>
      <c r="F181" s="146" t="s">
        <v>302</v>
      </c>
      <c r="G181" s="578" t="s">
        <v>4950</v>
      </c>
      <c r="H181" s="578" t="s">
        <v>4855</v>
      </c>
      <c r="I181" s="582" t="s">
        <v>4859</v>
      </c>
      <c r="J181" s="582" t="s">
        <v>4689</v>
      </c>
      <c r="K181" s="580" t="s">
        <v>4951</v>
      </c>
      <c r="L181" s="581" t="s">
        <v>4879</v>
      </c>
      <c r="M181" s="1346" t="s">
        <v>4685</v>
      </c>
      <c r="N181" s="581" t="s">
        <v>4859</v>
      </c>
      <c r="O181" s="721" t="s">
        <v>4952</v>
      </c>
      <c r="P181" s="150" t="s">
        <v>4953</v>
      </c>
      <c r="Q181" s="150"/>
      <c r="R181" s="98"/>
      <c r="S181" s="146"/>
      <c r="T181" s="279" t="s">
        <v>4954</v>
      </c>
      <c r="U181" s="279" t="s">
        <v>142</v>
      </c>
      <c r="W181" s="25"/>
      <c r="X181" s="25"/>
      <c r="Z181" s="25"/>
      <c r="AA181" s="77"/>
      <c r="AB181" s="77"/>
      <c r="AC181" s="272"/>
      <c r="AD181" s="40"/>
      <c r="AE181" s="77"/>
      <c r="AF181" s="77"/>
      <c r="AG181" s="77"/>
      <c r="AH181" s="77"/>
      <c r="AI181" s="77"/>
      <c r="AJ181" s="77"/>
      <c r="AK181" s="77"/>
    </row>
    <row r="182" spans="2:37" ht="10.5" customHeight="1">
      <c r="B182" s="146"/>
      <c r="C182" s="212" t="s">
        <v>4955</v>
      </c>
      <c r="D182" s="247"/>
      <c r="E182" s="146"/>
      <c r="F182" s="146" t="s">
        <v>303</v>
      </c>
      <c r="G182" s="578" t="s">
        <v>95</v>
      </c>
      <c r="H182" s="578" t="s">
        <v>4855</v>
      </c>
      <c r="I182" s="582" t="s">
        <v>4943</v>
      </c>
      <c r="J182" s="582" t="s">
        <v>4690</v>
      </c>
      <c r="K182" s="580" t="s">
        <v>4956</v>
      </c>
      <c r="L182" s="581" t="s">
        <v>4858</v>
      </c>
      <c r="M182" s="1346" t="s">
        <v>4688</v>
      </c>
      <c r="N182" s="581" t="s">
        <v>4859</v>
      </c>
      <c r="O182" s="721" t="s">
        <v>4957</v>
      </c>
      <c r="P182" s="150" t="s">
        <v>4958</v>
      </c>
      <c r="Q182" s="150"/>
      <c r="R182" s="98"/>
      <c r="S182" s="146"/>
      <c r="T182" s="279" t="s">
        <v>4959</v>
      </c>
      <c r="U182" s="279" t="s">
        <v>138</v>
      </c>
      <c r="W182" s="25"/>
      <c r="X182" s="25"/>
      <c r="Z182" s="25"/>
      <c r="AA182" s="77"/>
      <c r="AB182" s="77"/>
      <c r="AC182" s="272"/>
      <c r="AD182" s="40"/>
      <c r="AE182" s="77"/>
      <c r="AF182" s="77"/>
      <c r="AG182" s="77"/>
      <c r="AH182" s="77"/>
      <c r="AI182" s="77"/>
      <c r="AJ182" s="77"/>
      <c r="AK182" s="77"/>
    </row>
    <row r="183" spans="2:37" ht="10.5" customHeight="1">
      <c r="B183" s="146"/>
      <c r="C183" s="212" t="s">
        <v>4960</v>
      </c>
      <c r="D183" s="247"/>
      <c r="E183" s="146"/>
      <c r="F183" s="146" t="s">
        <v>305</v>
      </c>
      <c r="G183" s="578" t="s">
        <v>4961</v>
      </c>
      <c r="H183" s="578" t="s">
        <v>4855</v>
      </c>
      <c r="I183" s="582" t="s">
        <v>4892</v>
      </c>
      <c r="J183" s="582" t="s">
        <v>4689</v>
      </c>
      <c r="K183" s="580" t="s">
        <v>4962</v>
      </c>
      <c r="L183" s="581" t="s">
        <v>4879</v>
      </c>
      <c r="M183" s="1346" t="s">
        <v>4688</v>
      </c>
      <c r="N183" s="581" t="s">
        <v>4963</v>
      </c>
      <c r="O183" s="721" t="s">
        <v>4964</v>
      </c>
      <c r="P183" s="150" t="s">
        <v>4965</v>
      </c>
      <c r="Q183" s="150"/>
      <c r="R183" s="98"/>
      <c r="S183" s="146"/>
      <c r="T183" s="279" t="s">
        <v>4966</v>
      </c>
      <c r="U183" s="279" t="s">
        <v>152</v>
      </c>
      <c r="W183" s="25"/>
      <c r="X183" s="25"/>
      <c r="Z183" s="25"/>
      <c r="AA183" s="77"/>
      <c r="AB183" s="77"/>
      <c r="AC183" s="272"/>
      <c r="AD183" s="40"/>
      <c r="AE183" s="77"/>
      <c r="AF183" s="77"/>
      <c r="AG183" s="77"/>
      <c r="AH183" s="77"/>
      <c r="AI183" s="77"/>
      <c r="AJ183" s="77"/>
      <c r="AK183" s="77"/>
    </row>
    <row r="184" spans="2:37" ht="10.5" customHeight="1">
      <c r="B184" s="146"/>
      <c r="C184" s="212" t="s">
        <v>4967</v>
      </c>
      <c r="D184" s="247"/>
      <c r="E184" s="146"/>
      <c r="F184" s="146" t="s">
        <v>306</v>
      </c>
      <c r="G184" s="578" t="s">
        <v>4968</v>
      </c>
      <c r="H184" s="578" t="s">
        <v>4894</v>
      </c>
      <c r="I184" s="582" t="s">
        <v>4949</v>
      </c>
      <c r="J184" s="582" t="s">
        <v>4689</v>
      </c>
      <c r="K184" s="580" t="s">
        <v>4969</v>
      </c>
      <c r="L184" s="581" t="s">
        <v>4879</v>
      </c>
      <c r="M184" s="1346" t="s">
        <v>4688</v>
      </c>
      <c r="N184" s="581" t="s">
        <v>4903</v>
      </c>
      <c r="O184" s="721" t="s">
        <v>4970</v>
      </c>
      <c r="P184" s="150" t="s">
        <v>4971</v>
      </c>
      <c r="Q184" s="150"/>
      <c r="R184" s="98"/>
      <c r="S184" s="146"/>
      <c r="T184" s="279" t="s">
        <v>4972</v>
      </c>
      <c r="U184" s="279" t="s">
        <v>4973</v>
      </c>
      <c r="W184" s="25"/>
      <c r="X184" s="25"/>
      <c r="Z184" s="25"/>
      <c r="AA184" s="77"/>
      <c r="AB184" s="77"/>
      <c r="AC184" s="272"/>
      <c r="AD184" s="40"/>
      <c r="AE184" s="77"/>
      <c r="AF184" s="77"/>
      <c r="AG184" s="77"/>
      <c r="AH184" s="77"/>
      <c r="AI184" s="77"/>
      <c r="AJ184" s="77"/>
      <c r="AK184" s="77"/>
    </row>
    <row r="185" spans="2:37" ht="10.5" customHeight="1">
      <c r="B185" s="146"/>
      <c r="C185" s="211" t="s">
        <v>4974</v>
      </c>
      <c r="D185" s="247"/>
      <c r="E185" s="146"/>
      <c r="F185" s="146" t="s">
        <v>307</v>
      </c>
      <c r="G185" s="578" t="s">
        <v>4975</v>
      </c>
      <c r="H185" s="578" t="s">
        <v>4855</v>
      </c>
      <c r="I185" s="579" t="s">
        <v>4955</v>
      </c>
      <c r="J185" s="579" t="s">
        <v>4690</v>
      </c>
      <c r="K185" s="580" t="s">
        <v>4976</v>
      </c>
      <c r="L185" s="581" t="s">
        <v>4858</v>
      </c>
      <c r="M185" s="1346" t="s">
        <v>4688</v>
      </c>
      <c r="N185" s="581" t="s">
        <v>2057</v>
      </c>
      <c r="O185" s="721" t="s">
        <v>4977</v>
      </c>
      <c r="P185" s="150" t="s">
        <v>4978</v>
      </c>
      <c r="Q185" s="150"/>
      <c r="R185" s="98"/>
      <c r="S185" s="146"/>
      <c r="T185" s="279" t="s">
        <v>4979</v>
      </c>
      <c r="U185" s="279" t="s">
        <v>4980</v>
      </c>
      <c r="W185" s="25"/>
      <c r="X185" s="25"/>
      <c r="Z185" s="25"/>
      <c r="AA185" s="77"/>
      <c r="AB185" s="77"/>
      <c r="AC185" s="272"/>
      <c r="AD185" s="40"/>
      <c r="AE185" s="77"/>
      <c r="AF185" s="77"/>
      <c r="AG185" s="77"/>
      <c r="AH185" s="77"/>
      <c r="AI185" s="77"/>
      <c r="AJ185" s="77"/>
      <c r="AK185" s="77"/>
    </row>
    <row r="186" spans="2:37" ht="10.5" customHeight="1">
      <c r="B186" s="146"/>
      <c r="C186" s="211" t="s">
        <v>4981</v>
      </c>
      <c r="D186" s="247"/>
      <c r="E186" s="146"/>
      <c r="F186" s="146" t="s">
        <v>310</v>
      </c>
      <c r="G186" s="578" t="s">
        <v>128</v>
      </c>
      <c r="H186" s="578" t="s">
        <v>4855</v>
      </c>
      <c r="I186" s="582" t="s">
        <v>4960</v>
      </c>
      <c r="J186" s="582" t="s">
        <v>4690</v>
      </c>
      <c r="K186" s="580" t="s">
        <v>4982</v>
      </c>
      <c r="L186" s="581" t="s">
        <v>4858</v>
      </c>
      <c r="M186" s="1346" t="s">
        <v>4688</v>
      </c>
      <c r="N186" s="581" t="s">
        <v>2143</v>
      </c>
      <c r="O186" s="721" t="s">
        <v>4983</v>
      </c>
      <c r="P186" s="150" t="s">
        <v>4984</v>
      </c>
      <c r="Q186" s="150"/>
      <c r="R186" s="98"/>
      <c r="S186" s="146"/>
      <c r="T186" s="279" t="s">
        <v>4985</v>
      </c>
      <c r="U186" s="279" t="s">
        <v>4980</v>
      </c>
      <c r="W186" s="25"/>
      <c r="X186" s="25"/>
      <c r="Z186" s="25"/>
      <c r="AA186" s="77"/>
      <c r="AB186" s="77"/>
      <c r="AC186" s="272"/>
      <c r="AD186" s="40"/>
      <c r="AE186" s="77"/>
      <c r="AF186" s="77"/>
      <c r="AG186" s="77"/>
      <c r="AH186" s="77"/>
      <c r="AI186" s="77"/>
      <c r="AJ186" s="77"/>
      <c r="AK186" s="77"/>
    </row>
    <row r="187" spans="2:37" ht="10.5" customHeight="1">
      <c r="B187" s="146"/>
      <c r="C187" s="211" t="s">
        <v>4986</v>
      </c>
      <c r="D187" s="247"/>
      <c r="E187" s="146"/>
      <c r="F187" s="146" t="s">
        <v>309</v>
      </c>
      <c r="G187" s="578" t="s">
        <v>4987</v>
      </c>
      <c r="H187" s="578" t="s">
        <v>4855</v>
      </c>
      <c r="I187" s="579" t="s">
        <v>4967</v>
      </c>
      <c r="J187" s="579" t="s">
        <v>4690</v>
      </c>
      <c r="K187" s="580" t="s">
        <v>4988</v>
      </c>
      <c r="L187" s="581" t="s">
        <v>4858</v>
      </c>
      <c r="M187" s="1346" t="s">
        <v>4688</v>
      </c>
      <c r="N187" s="581" t="s">
        <v>4859</v>
      </c>
      <c r="O187" s="721" t="s">
        <v>4989</v>
      </c>
      <c r="P187" s="150" t="s">
        <v>4990</v>
      </c>
      <c r="Q187" s="150"/>
      <c r="R187" s="98"/>
      <c r="S187" s="146"/>
      <c r="T187" s="279" t="s">
        <v>4854</v>
      </c>
      <c r="U187" s="279" t="s">
        <v>106</v>
      </c>
      <c r="W187" s="25"/>
      <c r="X187" s="25"/>
      <c r="Z187" s="25"/>
      <c r="AA187" s="77"/>
      <c r="AB187" s="77"/>
      <c r="AC187" s="272"/>
      <c r="AD187" s="40"/>
      <c r="AE187" s="77"/>
      <c r="AF187" s="77"/>
      <c r="AG187" s="77"/>
      <c r="AH187" s="77"/>
      <c r="AI187" s="77"/>
      <c r="AJ187" s="77"/>
      <c r="AK187" s="77"/>
    </row>
    <row r="188" spans="2:37" ht="10.5" customHeight="1">
      <c r="B188" s="146"/>
      <c r="C188" s="211" t="s">
        <v>4991</v>
      </c>
      <c r="D188" s="247"/>
      <c r="E188" s="146"/>
      <c r="F188" s="146" t="s">
        <v>308</v>
      </c>
      <c r="G188" s="578" t="s">
        <v>4992</v>
      </c>
      <c r="H188" s="578" t="s">
        <v>4894</v>
      </c>
      <c r="I188" s="582" t="s">
        <v>4884</v>
      </c>
      <c r="J188" s="582" t="s">
        <v>4689</v>
      </c>
      <c r="K188" s="580" t="s">
        <v>4902</v>
      </c>
      <c r="L188" s="581" t="s">
        <v>4879</v>
      </c>
      <c r="M188" s="1346" t="s">
        <v>4685</v>
      </c>
      <c r="N188" s="581" t="s">
        <v>4903</v>
      </c>
      <c r="O188" s="721" t="s">
        <v>4993</v>
      </c>
      <c r="P188" s="150" t="s">
        <v>4994</v>
      </c>
      <c r="Q188" s="150"/>
      <c r="R188" s="98"/>
      <c r="S188" s="146"/>
      <c r="T188" s="279" t="s">
        <v>4995</v>
      </c>
      <c r="U188" s="279" t="s">
        <v>4996</v>
      </c>
      <c r="W188" s="25"/>
      <c r="X188" s="25"/>
      <c r="Z188" s="25"/>
      <c r="AA188" s="77"/>
      <c r="AB188" s="77"/>
      <c r="AC188" s="272"/>
      <c r="AD188" s="40"/>
      <c r="AE188" s="77"/>
      <c r="AF188" s="77"/>
      <c r="AG188" s="77"/>
      <c r="AH188" s="77"/>
      <c r="AI188" s="77"/>
      <c r="AJ188" s="77"/>
      <c r="AK188" s="77"/>
    </row>
    <row r="189" spans="2:37" ht="10.5" customHeight="1">
      <c r="B189" s="146"/>
      <c r="C189" s="212" t="s">
        <v>4997</v>
      </c>
      <c r="D189" s="247"/>
      <c r="E189" s="146"/>
      <c r="F189" s="146" t="s">
        <v>311</v>
      </c>
      <c r="G189" s="578" t="s">
        <v>123</v>
      </c>
      <c r="H189" s="578" t="s">
        <v>4894</v>
      </c>
      <c r="I189" s="582" t="s">
        <v>4981</v>
      </c>
      <c r="J189" s="582" t="s">
        <v>4689</v>
      </c>
      <c r="K189" s="580" t="s">
        <v>4998</v>
      </c>
      <c r="L189" s="581" t="s">
        <v>4879</v>
      </c>
      <c r="M189" s="1346" t="s">
        <v>4688</v>
      </c>
      <c r="N189" s="581" t="s">
        <v>4981</v>
      </c>
      <c r="O189" s="721" t="s">
        <v>4999</v>
      </c>
      <c r="P189" s="150" t="s">
        <v>5000</v>
      </c>
      <c r="Q189" s="150"/>
      <c r="R189" s="98"/>
      <c r="S189" s="146"/>
      <c r="T189" s="279" t="s">
        <v>5001</v>
      </c>
      <c r="U189" s="279" t="s">
        <v>5002</v>
      </c>
      <c r="W189" s="25"/>
      <c r="X189" s="25"/>
      <c r="Z189" s="25"/>
      <c r="AA189" s="77"/>
      <c r="AB189" s="77"/>
      <c r="AC189" s="272"/>
      <c r="AD189" s="40"/>
      <c r="AE189" s="77"/>
      <c r="AF189" s="77"/>
      <c r="AG189" s="77"/>
      <c r="AH189" s="77"/>
      <c r="AI189" s="77"/>
      <c r="AJ189" s="77"/>
      <c r="AK189" s="77"/>
    </row>
    <row r="190" spans="2:37" ht="10.5" customHeight="1">
      <c r="B190" s="146"/>
      <c r="C190" s="212" t="s">
        <v>5003</v>
      </c>
      <c r="D190" s="247"/>
      <c r="E190" s="146"/>
      <c r="F190" s="146" t="s">
        <v>312</v>
      </c>
      <c r="G190" s="578" t="s">
        <v>5004</v>
      </c>
      <c r="H190" s="578" t="s">
        <v>4855</v>
      </c>
      <c r="I190" s="579" t="s">
        <v>4974</v>
      </c>
      <c r="J190" s="579" t="s">
        <v>4690</v>
      </c>
      <c r="K190" s="580" t="s">
        <v>5005</v>
      </c>
      <c r="L190" s="581" t="s">
        <v>4858</v>
      </c>
      <c r="M190" s="1346" t="s">
        <v>4688</v>
      </c>
      <c r="N190" s="581" t="s">
        <v>2143</v>
      </c>
      <c r="O190" s="721" t="s">
        <v>5006</v>
      </c>
      <c r="P190" s="150" t="s">
        <v>5007</v>
      </c>
      <c r="Q190" s="150"/>
      <c r="R190" s="98"/>
      <c r="S190" s="146"/>
      <c r="T190" s="279" t="s">
        <v>5008</v>
      </c>
      <c r="U190" s="279" t="s">
        <v>5009</v>
      </c>
      <c r="W190" s="25"/>
      <c r="X190" s="25"/>
      <c r="Z190" s="25"/>
      <c r="AA190" s="77"/>
      <c r="AB190" s="77"/>
      <c r="AC190" s="272"/>
      <c r="AD190" s="40"/>
      <c r="AE190" s="77"/>
      <c r="AF190" s="77"/>
      <c r="AG190" s="77"/>
      <c r="AH190" s="77"/>
      <c r="AI190" s="77"/>
      <c r="AJ190" s="77"/>
      <c r="AK190" s="77"/>
    </row>
    <row r="191" spans="2:37" ht="10.5" customHeight="1">
      <c r="B191" s="146"/>
      <c r="C191" s="212" t="s">
        <v>5010</v>
      </c>
      <c r="D191" s="247"/>
      <c r="E191" s="146"/>
      <c r="F191" s="146" t="s">
        <v>314</v>
      </c>
      <c r="G191" s="578" t="s">
        <v>126</v>
      </c>
      <c r="H191" s="578" t="s">
        <v>4924</v>
      </c>
      <c r="I191" s="582" t="s">
        <v>4859</v>
      </c>
      <c r="J191" s="582" t="s">
        <v>4689</v>
      </c>
      <c r="K191" s="580" t="s">
        <v>4951</v>
      </c>
      <c r="L191" s="581" t="s">
        <v>4879</v>
      </c>
      <c r="M191" s="1346" t="s">
        <v>4685</v>
      </c>
      <c r="N191" s="581" t="s">
        <v>4859</v>
      </c>
      <c r="O191" s="721" t="s">
        <v>5011</v>
      </c>
      <c r="P191" s="150" t="s">
        <v>5012</v>
      </c>
      <c r="Q191" s="150"/>
      <c r="R191" s="98"/>
      <c r="S191" s="146"/>
      <c r="T191" s="279" t="s">
        <v>5013</v>
      </c>
      <c r="U191" s="279" t="s">
        <v>5014</v>
      </c>
      <c r="W191" s="25"/>
      <c r="X191" s="25"/>
      <c r="Z191" s="25"/>
      <c r="AA191" s="77"/>
      <c r="AB191" s="77"/>
      <c r="AC191" s="272"/>
      <c r="AD191" s="40"/>
      <c r="AE191" s="77"/>
      <c r="AF191" s="77"/>
      <c r="AG191" s="77"/>
      <c r="AH191" s="77"/>
      <c r="AI191" s="77"/>
      <c r="AJ191" s="77"/>
      <c r="AK191" s="77"/>
    </row>
    <row r="192" spans="2:37" ht="10.5" customHeight="1">
      <c r="B192" s="146"/>
      <c r="C192" s="211" t="s">
        <v>5015</v>
      </c>
      <c r="D192" s="247"/>
      <c r="E192" s="146"/>
      <c r="F192" s="146" t="s">
        <v>313</v>
      </c>
      <c r="G192" s="578" t="s">
        <v>5016</v>
      </c>
      <c r="H192" s="578" t="s">
        <v>4855</v>
      </c>
      <c r="I192" s="582" t="s">
        <v>5015</v>
      </c>
      <c r="J192" s="582" t="s">
        <v>4689</v>
      </c>
      <c r="K192" s="580" t="s">
        <v>5017</v>
      </c>
      <c r="L192" s="581" t="s">
        <v>4879</v>
      </c>
      <c r="M192" s="1346" t="s">
        <v>4688</v>
      </c>
      <c r="N192" s="581" t="s">
        <v>5015</v>
      </c>
      <c r="O192" s="721" t="s">
        <v>5018</v>
      </c>
      <c r="P192" s="150" t="s">
        <v>5019</v>
      </c>
      <c r="Q192" s="150"/>
      <c r="R192" s="98"/>
      <c r="S192" s="146"/>
      <c r="T192" s="279" t="s">
        <v>2061</v>
      </c>
      <c r="U192" s="279" t="s">
        <v>4975</v>
      </c>
      <c r="W192" s="25"/>
      <c r="X192" s="25"/>
      <c r="Z192" s="25"/>
      <c r="AA192" s="77"/>
      <c r="AB192" s="77"/>
      <c r="AC192" s="272"/>
      <c r="AD192" s="40"/>
      <c r="AE192" s="77"/>
      <c r="AF192" s="77"/>
      <c r="AG192" s="77"/>
      <c r="AH192" s="77"/>
      <c r="AI192" s="77"/>
      <c r="AJ192" s="77"/>
      <c r="AK192" s="77"/>
    </row>
    <row r="193" spans="2:37" ht="10.5" customHeight="1">
      <c r="B193" s="146"/>
      <c r="C193" s="212" t="s">
        <v>5020</v>
      </c>
      <c r="D193" s="247"/>
      <c r="E193" s="146"/>
      <c r="F193" s="146" t="s">
        <v>315</v>
      </c>
      <c r="G193" s="578" t="s">
        <v>5021</v>
      </c>
      <c r="H193" s="578" t="s">
        <v>4894</v>
      </c>
      <c r="I193" s="579" t="s">
        <v>4986</v>
      </c>
      <c r="J193" s="579" t="s">
        <v>4690</v>
      </c>
      <c r="K193" s="580" t="s">
        <v>5022</v>
      </c>
      <c r="L193" s="581" t="s">
        <v>4858</v>
      </c>
      <c r="M193" s="1346" t="s">
        <v>4688</v>
      </c>
      <c r="N193" s="581" t="s">
        <v>4981</v>
      </c>
      <c r="O193" s="721" t="s">
        <v>5023</v>
      </c>
      <c r="P193" s="150" t="s">
        <v>5024</v>
      </c>
      <c r="Q193" s="150"/>
      <c r="R193" s="98"/>
      <c r="S193" s="146"/>
      <c r="T193" s="279" t="s">
        <v>5025</v>
      </c>
      <c r="U193" s="279" t="s">
        <v>5026</v>
      </c>
      <c r="W193" s="25"/>
      <c r="X193" s="25"/>
      <c r="Z193" s="25"/>
      <c r="AA193" s="77"/>
      <c r="AB193" s="77"/>
      <c r="AC193" s="272"/>
      <c r="AD193" s="40"/>
      <c r="AE193" s="77"/>
      <c r="AF193" s="77"/>
      <c r="AG193" s="77"/>
      <c r="AH193" s="77"/>
      <c r="AI193" s="77"/>
      <c r="AJ193" s="77"/>
      <c r="AK193" s="77"/>
    </row>
    <row r="194" spans="2:37" ht="10.5" customHeight="1">
      <c r="B194" s="146"/>
      <c r="C194" s="212" t="s">
        <v>5027</v>
      </c>
      <c r="D194" s="247"/>
      <c r="E194" s="146"/>
      <c r="F194" s="146" t="s">
        <v>322</v>
      </c>
      <c r="G194" s="578" t="s">
        <v>5028</v>
      </c>
      <c r="H194" s="578" t="s">
        <v>4894</v>
      </c>
      <c r="I194" s="582" t="s">
        <v>4884</v>
      </c>
      <c r="J194" s="582" t="s">
        <v>4689</v>
      </c>
      <c r="K194" s="580" t="s">
        <v>4902</v>
      </c>
      <c r="L194" s="581" t="s">
        <v>4879</v>
      </c>
      <c r="M194" s="1346" t="s">
        <v>4685</v>
      </c>
      <c r="N194" s="581" t="s">
        <v>4903</v>
      </c>
      <c r="O194" s="721" t="s">
        <v>5029</v>
      </c>
      <c r="P194" s="150" t="s">
        <v>5030</v>
      </c>
      <c r="Q194" s="150"/>
      <c r="R194" s="98"/>
      <c r="S194" s="146"/>
      <c r="T194" s="279" t="s">
        <v>5031</v>
      </c>
      <c r="U194" s="279" t="s">
        <v>5032</v>
      </c>
      <c r="W194" s="25"/>
      <c r="X194" s="25"/>
      <c r="Z194" s="25"/>
      <c r="AA194" s="77"/>
      <c r="AB194" s="77"/>
      <c r="AC194" s="272"/>
      <c r="AD194" s="40"/>
      <c r="AE194" s="77"/>
      <c r="AF194" s="77"/>
      <c r="AG194" s="77"/>
      <c r="AH194" s="77"/>
      <c r="AI194" s="77"/>
      <c r="AJ194" s="77"/>
      <c r="AK194" s="77"/>
    </row>
    <row r="195" spans="2:37" ht="10.5" customHeight="1">
      <c r="B195" s="146"/>
      <c r="C195" s="212" t="s">
        <v>2097</v>
      </c>
      <c r="D195" s="247"/>
      <c r="E195" s="146"/>
      <c r="F195" s="146" t="s">
        <v>323</v>
      </c>
      <c r="G195" s="578" t="s">
        <v>5033</v>
      </c>
      <c r="H195" s="578" t="s">
        <v>4894</v>
      </c>
      <c r="I195" s="579" t="s">
        <v>5034</v>
      </c>
      <c r="J195" s="579" t="s">
        <v>4689</v>
      </c>
      <c r="K195" s="580" t="s">
        <v>5035</v>
      </c>
      <c r="L195" s="581" t="s">
        <v>4879</v>
      </c>
      <c r="M195" s="1346" t="s">
        <v>4685</v>
      </c>
      <c r="N195" s="581" t="s">
        <v>4897</v>
      </c>
      <c r="O195" s="721" t="s">
        <v>5036</v>
      </c>
      <c r="P195" s="150" t="s">
        <v>5037</v>
      </c>
      <c r="Q195" s="150"/>
      <c r="R195" s="146"/>
      <c r="S195" s="146"/>
      <c r="T195" s="279" t="s">
        <v>4897</v>
      </c>
      <c r="U195" s="279" t="s">
        <v>5033</v>
      </c>
      <c r="W195" s="25"/>
      <c r="X195" s="25"/>
      <c r="Z195" s="25"/>
      <c r="AA195" s="77"/>
      <c r="AB195" s="77"/>
      <c r="AC195" s="272"/>
      <c r="AD195" s="40"/>
      <c r="AE195" s="77"/>
      <c r="AF195" s="77"/>
      <c r="AG195" s="77"/>
      <c r="AH195" s="77"/>
      <c r="AI195" s="77"/>
      <c r="AJ195" s="77"/>
      <c r="AK195" s="77"/>
    </row>
    <row r="196" spans="2:37" ht="10.5" customHeight="1">
      <c r="B196" s="146"/>
      <c r="C196" s="211" t="s">
        <v>5038</v>
      </c>
      <c r="D196" s="247"/>
      <c r="E196" s="146"/>
      <c r="F196" s="146" t="s">
        <v>316</v>
      </c>
      <c r="G196" s="578" t="s">
        <v>5039</v>
      </c>
      <c r="H196" s="578" t="s">
        <v>4855</v>
      </c>
      <c r="I196" s="579" t="s">
        <v>4991</v>
      </c>
      <c r="J196" s="579" t="s">
        <v>4690</v>
      </c>
      <c r="K196" s="580" t="s">
        <v>5040</v>
      </c>
      <c r="L196" s="581" t="s">
        <v>4858</v>
      </c>
      <c r="M196" s="1346" t="s">
        <v>4688</v>
      </c>
      <c r="N196" s="581" t="s">
        <v>2057</v>
      </c>
      <c r="O196" s="721" t="s">
        <v>5041</v>
      </c>
      <c r="P196" s="150" t="s">
        <v>5042</v>
      </c>
      <c r="Q196" s="279"/>
      <c r="R196" s="98"/>
      <c r="S196" s="146"/>
      <c r="T196" s="279" t="s">
        <v>4903</v>
      </c>
      <c r="U196" s="279" t="s">
        <v>142</v>
      </c>
      <c r="W196" s="25"/>
      <c r="X196" s="25"/>
      <c r="Z196" s="25"/>
      <c r="AA196" s="77"/>
      <c r="AB196" s="77"/>
      <c r="AC196" s="272"/>
      <c r="AD196" s="40"/>
      <c r="AE196" s="77"/>
      <c r="AF196" s="77"/>
      <c r="AG196" s="77"/>
      <c r="AH196" s="77"/>
      <c r="AI196" s="77"/>
      <c r="AJ196" s="77"/>
      <c r="AK196" s="77"/>
    </row>
    <row r="197" spans="2:37" ht="10.5" customHeight="1">
      <c r="B197" s="146"/>
      <c r="C197" s="211" t="s">
        <v>5043</v>
      </c>
      <c r="D197" s="247"/>
      <c r="E197" s="146"/>
      <c r="F197" s="146" t="s">
        <v>318</v>
      </c>
      <c r="G197" s="578" t="s">
        <v>89</v>
      </c>
      <c r="H197" s="578" t="s">
        <v>4924</v>
      </c>
      <c r="I197" s="582" t="s">
        <v>4884</v>
      </c>
      <c r="J197" s="582" t="s">
        <v>4689</v>
      </c>
      <c r="K197" s="580" t="s">
        <v>4902</v>
      </c>
      <c r="L197" s="581" t="s">
        <v>4879</v>
      </c>
      <c r="M197" s="1346" t="s">
        <v>4685</v>
      </c>
      <c r="N197" s="581" t="s">
        <v>4903</v>
      </c>
      <c r="O197" s="721" t="s">
        <v>5044</v>
      </c>
      <c r="P197" s="150" t="s">
        <v>5045</v>
      </c>
      <c r="Q197" s="279"/>
      <c r="R197" s="98"/>
      <c r="S197" s="146"/>
      <c r="T197" s="279" t="s">
        <v>5046</v>
      </c>
      <c r="U197" s="279" t="s">
        <v>5047</v>
      </c>
      <c r="W197" s="25"/>
      <c r="X197" s="25"/>
      <c r="Z197" s="25"/>
      <c r="AA197" s="77"/>
      <c r="AB197" s="77"/>
      <c r="AC197" s="272"/>
      <c r="AD197" s="40"/>
      <c r="AE197" s="77"/>
      <c r="AF197" s="77"/>
      <c r="AG197" s="77"/>
      <c r="AH197" s="77"/>
      <c r="AI197" s="77"/>
      <c r="AJ197" s="77"/>
      <c r="AK197" s="77"/>
    </row>
    <row r="198" spans="2:37" ht="10.5" customHeight="1">
      <c r="B198" s="146"/>
      <c r="C198" s="212" t="s">
        <v>5048</v>
      </c>
      <c r="D198" s="247"/>
      <c r="E198" s="146"/>
      <c r="F198" s="146" t="s">
        <v>319</v>
      </c>
      <c r="G198" s="578" t="s">
        <v>5014</v>
      </c>
      <c r="H198" s="578" t="s">
        <v>4855</v>
      </c>
      <c r="I198" s="579" t="s">
        <v>4997</v>
      </c>
      <c r="J198" s="579" t="s">
        <v>4690</v>
      </c>
      <c r="K198" s="580" t="s">
        <v>5049</v>
      </c>
      <c r="L198" s="581" t="s">
        <v>4858</v>
      </c>
      <c r="M198" s="1346" t="s">
        <v>4688</v>
      </c>
      <c r="N198" s="581" t="s">
        <v>2143</v>
      </c>
      <c r="O198" s="721" t="s">
        <v>5050</v>
      </c>
      <c r="P198" s="150" t="s">
        <v>5051</v>
      </c>
      <c r="Q198" s="279"/>
      <c r="R198" s="98"/>
      <c r="S198" s="146"/>
      <c r="T198" s="279" t="s">
        <v>5052</v>
      </c>
      <c r="U198" s="279" t="s">
        <v>159</v>
      </c>
      <c r="W198" s="25"/>
      <c r="X198" s="25"/>
      <c r="Z198" s="25"/>
      <c r="AA198" s="77"/>
      <c r="AB198" s="77"/>
      <c r="AC198" s="272"/>
      <c r="AD198" s="40"/>
      <c r="AE198" s="77"/>
      <c r="AF198" s="77"/>
      <c r="AG198" s="77"/>
      <c r="AH198" s="77"/>
      <c r="AI198" s="77"/>
      <c r="AJ198" s="77"/>
      <c r="AK198" s="77"/>
    </row>
    <row r="199" spans="2:37" ht="10.5" customHeight="1">
      <c r="B199" s="146"/>
      <c r="C199" s="211" t="s">
        <v>5053</v>
      </c>
      <c r="D199" s="247"/>
      <c r="E199" s="146"/>
      <c r="F199" s="146" t="s">
        <v>320</v>
      </c>
      <c r="G199" s="578" t="s">
        <v>109</v>
      </c>
      <c r="H199" s="578" t="s">
        <v>4924</v>
      </c>
      <c r="I199" s="582" t="s">
        <v>4884</v>
      </c>
      <c r="J199" s="582" t="s">
        <v>4689</v>
      </c>
      <c r="K199" s="580" t="s">
        <v>4902</v>
      </c>
      <c r="L199" s="581" t="s">
        <v>4879</v>
      </c>
      <c r="M199" s="1346" t="s">
        <v>4685</v>
      </c>
      <c r="N199" s="581" t="s">
        <v>4903</v>
      </c>
      <c r="O199" s="721" t="s">
        <v>5054</v>
      </c>
      <c r="P199" s="150" t="s">
        <v>5055</v>
      </c>
      <c r="Q199" s="279"/>
      <c r="R199" s="98"/>
      <c r="S199" s="146"/>
      <c r="T199" s="279" t="s">
        <v>4963</v>
      </c>
      <c r="U199" s="279" t="s">
        <v>5056</v>
      </c>
      <c r="W199" s="25"/>
      <c r="X199" s="25"/>
      <c r="Z199" s="25"/>
      <c r="AA199" s="77"/>
      <c r="AB199" s="77"/>
      <c r="AC199" s="272"/>
      <c r="AD199" s="40"/>
      <c r="AE199" s="77"/>
      <c r="AF199" s="77"/>
      <c r="AG199" s="77"/>
      <c r="AH199" s="77"/>
      <c r="AI199" s="77"/>
      <c r="AJ199" s="77"/>
      <c r="AK199" s="77"/>
    </row>
    <row r="200" spans="2:37" ht="10.5" customHeight="1">
      <c r="B200" s="146"/>
      <c r="C200" s="212" t="s">
        <v>5057</v>
      </c>
      <c r="D200" s="247"/>
      <c r="E200" s="146"/>
      <c r="F200" s="146" t="s">
        <v>317</v>
      </c>
      <c r="G200" s="578" t="s">
        <v>4973</v>
      </c>
      <c r="H200" s="578" t="s">
        <v>4855</v>
      </c>
      <c r="I200" s="579" t="s">
        <v>5003</v>
      </c>
      <c r="J200" s="579" t="s">
        <v>4690</v>
      </c>
      <c r="K200" s="580" t="s">
        <v>5058</v>
      </c>
      <c r="L200" s="581" t="s">
        <v>4858</v>
      </c>
      <c r="M200" s="1346" t="s">
        <v>4688</v>
      </c>
      <c r="N200" s="581" t="s">
        <v>2143</v>
      </c>
      <c r="O200" s="721" t="s">
        <v>5059</v>
      </c>
      <c r="P200" s="150" t="s">
        <v>5060</v>
      </c>
      <c r="Q200" s="279"/>
      <c r="R200" s="98"/>
      <c r="S200" s="146"/>
      <c r="T200" s="279" t="s">
        <v>5061</v>
      </c>
      <c r="U200" s="279" t="s">
        <v>109</v>
      </c>
      <c r="W200" s="25"/>
      <c r="X200" s="25"/>
      <c r="Z200" s="25"/>
      <c r="AA200" s="77"/>
      <c r="AB200" s="77"/>
      <c r="AC200" s="272"/>
      <c r="AD200" s="40"/>
      <c r="AE200" s="77"/>
      <c r="AF200" s="77"/>
      <c r="AG200" s="77"/>
      <c r="AH200" s="77"/>
      <c r="AI200" s="77"/>
      <c r="AJ200" s="77"/>
      <c r="AK200" s="77"/>
    </row>
    <row r="201" spans="2:37" ht="10.5" customHeight="1">
      <c r="B201" s="146"/>
      <c r="C201" s="212" t="s">
        <v>5062</v>
      </c>
      <c r="D201" s="247"/>
      <c r="E201" s="146"/>
      <c r="F201" s="146" t="s">
        <v>321</v>
      </c>
      <c r="G201" s="578" t="s">
        <v>5063</v>
      </c>
      <c r="H201" s="578" t="s">
        <v>4855</v>
      </c>
      <c r="I201" s="579" t="s">
        <v>5010</v>
      </c>
      <c r="J201" s="579" t="s">
        <v>4690</v>
      </c>
      <c r="K201" s="580" t="s">
        <v>5064</v>
      </c>
      <c r="L201" s="581" t="s">
        <v>4858</v>
      </c>
      <c r="M201" s="1346" t="s">
        <v>4688</v>
      </c>
      <c r="N201" s="581" t="s">
        <v>2057</v>
      </c>
      <c r="O201" s="721" t="s">
        <v>5065</v>
      </c>
      <c r="P201" s="150" t="s">
        <v>5066</v>
      </c>
      <c r="Q201" s="279"/>
      <c r="R201" s="98"/>
      <c r="S201" s="146"/>
      <c r="T201" s="279" t="s">
        <v>5067</v>
      </c>
      <c r="U201" s="279" t="s">
        <v>5068</v>
      </c>
      <c r="W201" s="25"/>
      <c r="X201" s="25"/>
      <c r="Z201" s="25"/>
      <c r="AA201" s="77"/>
      <c r="AB201" s="77"/>
      <c r="AC201" s="272"/>
      <c r="AD201" s="40"/>
      <c r="AE201" s="77"/>
      <c r="AF201" s="77"/>
      <c r="AG201" s="77"/>
      <c r="AH201" s="77"/>
      <c r="AI201" s="77"/>
      <c r="AJ201" s="77"/>
      <c r="AK201" s="77"/>
    </row>
    <row r="202" spans="2:37" ht="10.5" customHeight="1">
      <c r="B202" s="146"/>
      <c r="C202" s="212" t="s">
        <v>5069</v>
      </c>
      <c r="D202" s="247"/>
      <c r="E202" s="146"/>
      <c r="F202" s="146" t="s">
        <v>324</v>
      </c>
      <c r="G202" s="578" t="s">
        <v>106</v>
      </c>
      <c r="H202" s="578" t="s">
        <v>4894</v>
      </c>
      <c r="I202" s="582" t="s">
        <v>4892</v>
      </c>
      <c r="J202" s="582" t="s">
        <v>4689</v>
      </c>
      <c r="K202" s="580" t="s">
        <v>4962</v>
      </c>
      <c r="L202" s="581" t="s">
        <v>4879</v>
      </c>
      <c r="M202" s="1346" t="s">
        <v>4688</v>
      </c>
      <c r="N202" s="581" t="s">
        <v>4963</v>
      </c>
      <c r="O202" s="721" t="s">
        <v>5070</v>
      </c>
      <c r="P202" s="150" t="s">
        <v>5071</v>
      </c>
      <c r="Q202" s="279"/>
      <c r="R202" s="98"/>
      <c r="S202" s="146"/>
      <c r="T202" s="279" t="s">
        <v>5072</v>
      </c>
      <c r="U202" s="279" t="s">
        <v>5073</v>
      </c>
      <c r="W202" s="25"/>
      <c r="X202" s="25"/>
      <c r="Z202" s="25"/>
      <c r="AA202" s="77"/>
      <c r="AB202" s="77"/>
      <c r="AC202" s="272"/>
      <c r="AD202" s="40"/>
      <c r="AE202" s="77"/>
      <c r="AF202" s="77"/>
      <c r="AG202" s="77"/>
      <c r="AH202" s="77"/>
      <c r="AI202" s="77"/>
      <c r="AJ202" s="77"/>
      <c r="AK202" s="77"/>
    </row>
    <row r="203" spans="2:37" ht="10.5" customHeight="1">
      <c r="B203" s="146"/>
      <c r="C203" s="212" t="s">
        <v>5074</v>
      </c>
      <c r="D203" s="247"/>
      <c r="E203" s="146"/>
      <c r="F203" s="146" t="s">
        <v>325</v>
      </c>
      <c r="G203" s="578" t="s">
        <v>4891</v>
      </c>
      <c r="H203" s="578" t="s">
        <v>4855</v>
      </c>
      <c r="I203" s="579" t="s">
        <v>5020</v>
      </c>
      <c r="J203" s="579" t="s">
        <v>4690</v>
      </c>
      <c r="K203" s="580" t="s">
        <v>5075</v>
      </c>
      <c r="L203" s="581" t="s">
        <v>4858</v>
      </c>
      <c r="M203" s="1346" t="s">
        <v>4688</v>
      </c>
      <c r="N203" s="581" t="s">
        <v>2143</v>
      </c>
      <c r="O203" s="721" t="s">
        <v>5076</v>
      </c>
      <c r="P203" s="150" t="s">
        <v>5077</v>
      </c>
      <c r="Q203" s="279"/>
      <c r="R203" s="98"/>
      <c r="S203" s="146"/>
      <c r="T203" s="279" t="s">
        <v>5078</v>
      </c>
      <c r="U203" s="279" t="s">
        <v>84</v>
      </c>
      <c r="W203" s="25"/>
      <c r="X203" s="25"/>
      <c r="Z203" s="25"/>
      <c r="AA203" s="77"/>
      <c r="AB203" s="77"/>
      <c r="AC203" s="272"/>
      <c r="AD203" s="40"/>
      <c r="AE203" s="77"/>
      <c r="AF203" s="77"/>
      <c r="AG203" s="77"/>
      <c r="AH203" s="77"/>
      <c r="AI203" s="77"/>
      <c r="AJ203" s="77"/>
      <c r="AK203" s="77"/>
    </row>
    <row r="204" spans="2:37" ht="10.5" customHeight="1">
      <c r="B204" s="146"/>
      <c r="C204" s="212" t="s">
        <v>5079</v>
      </c>
      <c r="D204" s="247"/>
      <c r="E204" s="146"/>
      <c r="F204" s="146" t="s">
        <v>326</v>
      </c>
      <c r="G204" s="578" t="s">
        <v>104</v>
      </c>
      <c r="H204" s="578" t="s">
        <v>4855</v>
      </c>
      <c r="I204" s="582" t="s">
        <v>4884</v>
      </c>
      <c r="J204" s="582" t="s">
        <v>4689</v>
      </c>
      <c r="K204" s="580" t="s">
        <v>4902</v>
      </c>
      <c r="L204" s="581" t="s">
        <v>4879</v>
      </c>
      <c r="M204" s="1346" t="s">
        <v>4685</v>
      </c>
      <c r="N204" s="581" t="s">
        <v>4903</v>
      </c>
      <c r="O204" s="721" t="s">
        <v>5080</v>
      </c>
      <c r="P204" s="150" t="s">
        <v>5081</v>
      </c>
      <c r="Q204" s="279"/>
      <c r="R204" s="98"/>
      <c r="S204" s="146"/>
      <c r="T204" s="279" t="s">
        <v>5082</v>
      </c>
      <c r="U204" s="279" t="s">
        <v>5083</v>
      </c>
      <c r="W204" s="25"/>
      <c r="X204" s="25"/>
      <c r="Z204" s="25"/>
      <c r="AA204" s="77"/>
      <c r="AB204" s="77"/>
      <c r="AC204" s="272"/>
      <c r="AD204" s="40"/>
      <c r="AE204" s="77"/>
      <c r="AF204" s="77"/>
      <c r="AG204" s="77"/>
      <c r="AH204" s="77"/>
      <c r="AI204" s="77"/>
      <c r="AJ204" s="77"/>
      <c r="AK204" s="77"/>
    </row>
    <row r="205" spans="2:37" ht="10.5" customHeight="1">
      <c r="B205" s="146"/>
      <c r="C205" s="212" t="s">
        <v>5084</v>
      </c>
      <c r="D205" s="247"/>
      <c r="E205" s="146"/>
      <c r="F205" s="146" t="s">
        <v>327</v>
      </c>
      <c r="G205" s="578" t="s">
        <v>5085</v>
      </c>
      <c r="H205" s="578" t="s">
        <v>4894</v>
      </c>
      <c r="I205" s="582" t="s">
        <v>4888</v>
      </c>
      <c r="J205" s="582" t="s">
        <v>4689</v>
      </c>
      <c r="K205" s="580" t="s">
        <v>4925</v>
      </c>
      <c r="L205" s="581" t="s">
        <v>4879</v>
      </c>
      <c r="M205" s="1346" t="s">
        <v>4688</v>
      </c>
      <c r="N205" s="581" t="s">
        <v>4888</v>
      </c>
      <c r="O205" s="721" t="s">
        <v>5086</v>
      </c>
      <c r="P205" s="150" t="s">
        <v>5087</v>
      </c>
      <c r="Q205" s="279"/>
      <c r="R205" s="98"/>
      <c r="S205" s="146"/>
      <c r="T205" s="279" t="s">
        <v>5088</v>
      </c>
      <c r="U205" s="279" t="s">
        <v>5047</v>
      </c>
      <c r="W205" s="25"/>
      <c r="X205" s="25"/>
      <c r="Z205" s="25"/>
      <c r="AA205" s="77"/>
      <c r="AB205" s="77"/>
      <c r="AC205" s="272"/>
      <c r="AD205" s="40"/>
      <c r="AE205" s="77"/>
      <c r="AF205" s="77"/>
      <c r="AG205" s="77"/>
      <c r="AH205" s="77"/>
      <c r="AI205" s="77"/>
      <c r="AJ205" s="77"/>
      <c r="AK205" s="77"/>
    </row>
    <row r="206" spans="2:37" ht="10.5" customHeight="1">
      <c r="B206" s="146"/>
      <c r="C206" s="212" t="s">
        <v>5089</v>
      </c>
      <c r="D206" s="247"/>
      <c r="E206" s="146"/>
      <c r="F206" s="146" t="s">
        <v>328</v>
      </c>
      <c r="G206" s="578" t="s">
        <v>4996</v>
      </c>
      <c r="H206" s="578" t="s">
        <v>4855</v>
      </c>
      <c r="I206" s="579" t="s">
        <v>5027</v>
      </c>
      <c r="J206" s="579" t="s">
        <v>4690</v>
      </c>
      <c r="K206" s="580" t="s">
        <v>5090</v>
      </c>
      <c r="L206" s="581" t="s">
        <v>4858</v>
      </c>
      <c r="M206" s="1346" t="s">
        <v>4688</v>
      </c>
      <c r="N206" s="581" t="s">
        <v>2057</v>
      </c>
      <c r="O206" s="721" t="s">
        <v>5091</v>
      </c>
      <c r="P206" s="150" t="s">
        <v>5092</v>
      </c>
      <c r="Q206" s="279"/>
      <c r="R206" s="98"/>
      <c r="S206" s="146"/>
      <c r="T206" s="279" t="s">
        <v>4885</v>
      </c>
      <c r="U206" s="279" t="s">
        <v>152</v>
      </c>
      <c r="W206" s="25"/>
      <c r="X206" s="25"/>
      <c r="Z206" s="25"/>
      <c r="AA206" s="77"/>
      <c r="AB206" s="77"/>
      <c r="AC206" s="272"/>
      <c r="AD206" s="40"/>
      <c r="AE206" s="77"/>
      <c r="AF206" s="77"/>
      <c r="AG206" s="77"/>
      <c r="AH206" s="77"/>
      <c r="AI206" s="77"/>
      <c r="AJ206" s="77"/>
      <c r="AK206" s="77"/>
    </row>
    <row r="207" spans="2:37" ht="10.5" customHeight="1">
      <c r="B207" s="146"/>
      <c r="C207" s="212" t="s">
        <v>5093</v>
      </c>
      <c r="D207" s="247"/>
      <c r="E207" s="146"/>
      <c r="F207" s="146" t="s">
        <v>329</v>
      </c>
      <c r="G207" s="578" t="s">
        <v>5094</v>
      </c>
      <c r="H207" s="578" t="s">
        <v>4894</v>
      </c>
      <c r="I207" s="582" t="s">
        <v>4981</v>
      </c>
      <c r="J207" s="582" t="s">
        <v>4689</v>
      </c>
      <c r="K207" s="580" t="s">
        <v>4998</v>
      </c>
      <c r="L207" s="581" t="s">
        <v>4879</v>
      </c>
      <c r="M207" s="1346" t="s">
        <v>4688</v>
      </c>
      <c r="N207" s="581" t="s">
        <v>4981</v>
      </c>
      <c r="O207" s="721" t="s">
        <v>5095</v>
      </c>
      <c r="P207" s="150" t="s">
        <v>5096</v>
      </c>
      <c r="Q207" s="279"/>
      <c r="R207" s="98"/>
      <c r="S207" s="146"/>
      <c r="T207" s="279" t="s">
        <v>5097</v>
      </c>
      <c r="U207" s="279" t="s">
        <v>5028</v>
      </c>
      <c r="W207" s="25"/>
      <c r="X207" s="25"/>
      <c r="Z207" s="25"/>
      <c r="AA207" s="77"/>
      <c r="AB207" s="77"/>
      <c r="AC207" s="272"/>
      <c r="AD207" s="40"/>
      <c r="AE207" s="77"/>
      <c r="AF207" s="77"/>
      <c r="AG207" s="77"/>
      <c r="AH207" s="77"/>
      <c r="AI207" s="77"/>
      <c r="AJ207" s="77"/>
      <c r="AK207" s="77"/>
    </row>
    <row r="208" spans="2:37" ht="10.5" customHeight="1">
      <c r="B208" s="146"/>
      <c r="C208" s="212" t="s">
        <v>5098</v>
      </c>
      <c r="D208" s="247"/>
      <c r="E208" s="146"/>
      <c r="F208" s="146" t="s">
        <v>330</v>
      </c>
      <c r="G208" s="578" t="s">
        <v>5099</v>
      </c>
      <c r="H208" s="578" t="s">
        <v>4894</v>
      </c>
      <c r="I208" s="582" t="s">
        <v>4884</v>
      </c>
      <c r="J208" s="582" t="s">
        <v>4689</v>
      </c>
      <c r="K208" s="580" t="s">
        <v>4902</v>
      </c>
      <c r="L208" s="581" t="s">
        <v>4879</v>
      </c>
      <c r="M208" s="1346" t="s">
        <v>4685</v>
      </c>
      <c r="N208" s="581" t="s">
        <v>4903</v>
      </c>
      <c r="O208" s="721" t="s">
        <v>5100</v>
      </c>
      <c r="P208" s="150" t="s">
        <v>5101</v>
      </c>
      <c r="Q208" s="279"/>
      <c r="R208" s="98"/>
      <c r="S208" s="146"/>
      <c r="T208" s="279" t="s">
        <v>5102</v>
      </c>
      <c r="U208" s="279" t="s">
        <v>4929</v>
      </c>
      <c r="W208" s="25"/>
      <c r="X208" s="25"/>
      <c r="Z208" s="25"/>
      <c r="AA208" s="77"/>
      <c r="AB208" s="77"/>
      <c r="AC208" s="272"/>
      <c r="AD208" s="40"/>
      <c r="AE208" s="77"/>
      <c r="AF208" s="77"/>
      <c r="AG208" s="77"/>
      <c r="AH208" s="77"/>
      <c r="AI208" s="77"/>
      <c r="AJ208" s="77"/>
      <c r="AK208" s="77"/>
    </row>
    <row r="209" spans="2:37" ht="10.5" customHeight="1">
      <c r="B209" s="146"/>
      <c r="C209" s="212" t="s">
        <v>5103</v>
      </c>
      <c r="D209" s="247"/>
      <c r="E209" s="146"/>
      <c r="F209" s="146" t="s">
        <v>331</v>
      </c>
      <c r="G209" s="578" t="s">
        <v>5047</v>
      </c>
      <c r="H209" s="578" t="s">
        <v>4855</v>
      </c>
      <c r="I209" s="579" t="s">
        <v>5038</v>
      </c>
      <c r="J209" s="579" t="s">
        <v>4690</v>
      </c>
      <c r="K209" s="580" t="s">
        <v>5104</v>
      </c>
      <c r="L209" s="581" t="s">
        <v>4858</v>
      </c>
      <c r="M209" s="1346" t="s">
        <v>4688</v>
      </c>
      <c r="N209" s="581" t="s">
        <v>2057</v>
      </c>
      <c r="O209" s="721" t="s">
        <v>5105</v>
      </c>
      <c r="P209" s="150" t="s">
        <v>5106</v>
      </c>
      <c r="Q209" s="279"/>
      <c r="R209" s="98"/>
      <c r="S209" s="146"/>
      <c r="T209" s="279" t="s">
        <v>4883</v>
      </c>
      <c r="U209" s="279" t="s">
        <v>5073</v>
      </c>
      <c r="W209" s="25"/>
      <c r="X209" s="25"/>
      <c r="Z209" s="25"/>
      <c r="AA209" s="77"/>
      <c r="AB209" s="77"/>
      <c r="AC209" s="272"/>
      <c r="AD209" s="40"/>
      <c r="AE209" s="77"/>
      <c r="AF209" s="77"/>
      <c r="AG209" s="77"/>
      <c r="AH209" s="77"/>
      <c r="AI209" s="77"/>
      <c r="AJ209" s="77"/>
      <c r="AK209" s="77"/>
    </row>
    <row r="210" spans="2:37" ht="10.5" customHeight="1">
      <c r="B210" s="146"/>
      <c r="C210" s="212" t="s">
        <v>5107</v>
      </c>
      <c r="D210" s="247"/>
      <c r="E210" s="146"/>
      <c r="F210" s="146" t="s">
        <v>332</v>
      </c>
      <c r="G210" s="578" t="s">
        <v>5108</v>
      </c>
      <c r="H210" s="578" t="s">
        <v>4924</v>
      </c>
      <c r="I210" s="582" t="s">
        <v>4884</v>
      </c>
      <c r="J210" s="582" t="s">
        <v>4689</v>
      </c>
      <c r="K210" s="580" t="s">
        <v>4902</v>
      </c>
      <c r="L210" s="581" t="s">
        <v>4879</v>
      </c>
      <c r="M210" s="1346" t="s">
        <v>4685</v>
      </c>
      <c r="N210" s="581" t="s">
        <v>4903</v>
      </c>
      <c r="O210" s="721" t="s">
        <v>5109</v>
      </c>
      <c r="P210" s="150" t="s">
        <v>5110</v>
      </c>
      <c r="Q210" s="279"/>
      <c r="R210" s="98"/>
      <c r="S210" s="146"/>
      <c r="T210" s="279" t="s">
        <v>5111</v>
      </c>
      <c r="U210" s="279" t="s">
        <v>5112</v>
      </c>
      <c r="W210" s="25"/>
      <c r="X210" s="25"/>
      <c r="Z210" s="25"/>
      <c r="AA210" s="77"/>
      <c r="AB210" s="77"/>
      <c r="AC210" s="272"/>
      <c r="AD210" s="40"/>
      <c r="AE210" s="77"/>
      <c r="AF210" s="77"/>
      <c r="AG210" s="77"/>
      <c r="AH210" s="77"/>
      <c r="AI210" s="77"/>
      <c r="AJ210" s="77"/>
      <c r="AK210" s="77"/>
    </row>
    <row r="211" spans="2:37" ht="10.5" customHeight="1">
      <c r="B211" s="146"/>
      <c r="C211" s="212" t="s">
        <v>5113</v>
      </c>
      <c r="D211" s="247"/>
      <c r="E211" s="146"/>
      <c r="F211" s="146" t="s">
        <v>333</v>
      </c>
      <c r="G211" s="578" t="s">
        <v>5114</v>
      </c>
      <c r="H211" s="578" t="s">
        <v>4855</v>
      </c>
      <c r="I211" s="579" t="s">
        <v>5043</v>
      </c>
      <c r="J211" s="579" t="s">
        <v>4690</v>
      </c>
      <c r="K211" s="580" t="s">
        <v>5115</v>
      </c>
      <c r="L211" s="581" t="s">
        <v>4858</v>
      </c>
      <c r="M211" s="1346" t="s">
        <v>4688</v>
      </c>
      <c r="N211" s="581" t="s">
        <v>4888</v>
      </c>
      <c r="O211" s="721" t="s">
        <v>5116</v>
      </c>
      <c r="P211" s="150" t="s">
        <v>5117</v>
      </c>
      <c r="Q211" s="279"/>
      <c r="R211" s="98"/>
      <c r="S211" s="146"/>
      <c r="T211" s="146" t="s">
        <v>5118</v>
      </c>
      <c r="U211" s="146" t="s">
        <v>4854</v>
      </c>
      <c r="W211" s="25"/>
      <c r="X211" s="25"/>
      <c r="Z211" s="25"/>
      <c r="AA211" s="77"/>
      <c r="AB211" s="77"/>
      <c r="AC211" s="40"/>
      <c r="AD211" s="40"/>
      <c r="AE211" s="77"/>
      <c r="AF211" s="77"/>
      <c r="AG211" s="77"/>
      <c r="AH211" s="77"/>
      <c r="AI211" s="77"/>
      <c r="AJ211" s="77"/>
      <c r="AK211" s="77"/>
    </row>
    <row r="212" spans="2:37" ht="10.5" customHeight="1">
      <c r="B212" s="146"/>
      <c r="C212" s="212" t="s">
        <v>5119</v>
      </c>
      <c r="D212" s="247"/>
      <c r="E212" s="146"/>
      <c r="F212" s="146" t="s">
        <v>335</v>
      </c>
      <c r="G212" s="578" t="s">
        <v>5120</v>
      </c>
      <c r="H212" s="578" t="s">
        <v>4855</v>
      </c>
      <c r="I212" s="579" t="s">
        <v>5048</v>
      </c>
      <c r="J212" s="579" t="s">
        <v>4690</v>
      </c>
      <c r="K212" s="580" t="s">
        <v>5121</v>
      </c>
      <c r="L212" s="581" t="s">
        <v>4858</v>
      </c>
      <c r="M212" s="1346" t="s">
        <v>4688</v>
      </c>
      <c r="N212" s="581" t="s">
        <v>2057</v>
      </c>
      <c r="O212" s="721" t="s">
        <v>5122</v>
      </c>
      <c r="P212" s="150" t="s">
        <v>5123</v>
      </c>
      <c r="Q212" s="279"/>
      <c r="R212" s="98"/>
      <c r="S212" s="146"/>
      <c r="T212" s="279" t="s">
        <v>5124</v>
      </c>
      <c r="U212" s="279" t="s">
        <v>105</v>
      </c>
      <c r="W212" s="25"/>
      <c r="X212" s="25"/>
      <c r="Z212" s="25"/>
      <c r="AA212" s="77"/>
      <c r="AB212" s="77"/>
      <c r="AC212" s="272"/>
      <c r="AD212" s="40"/>
      <c r="AE212" s="77"/>
      <c r="AF212" s="77"/>
      <c r="AG212" s="77"/>
      <c r="AH212" s="77"/>
      <c r="AI212" s="77"/>
      <c r="AJ212" s="77"/>
      <c r="AK212" s="77"/>
    </row>
    <row r="213" spans="2:37" ht="10.5" customHeight="1">
      <c r="B213" s="146"/>
      <c r="C213" s="212" t="s">
        <v>5125</v>
      </c>
      <c r="D213" s="247"/>
      <c r="E213" s="146"/>
      <c r="F213" s="146" t="s">
        <v>334</v>
      </c>
      <c r="G213" s="578" t="s">
        <v>150</v>
      </c>
      <c r="H213" s="578" t="s">
        <v>4855</v>
      </c>
      <c r="I213" s="582" t="s">
        <v>2057</v>
      </c>
      <c r="J213" s="582" t="s">
        <v>4689</v>
      </c>
      <c r="K213" s="580" t="s">
        <v>5126</v>
      </c>
      <c r="L213" s="581" t="s">
        <v>4879</v>
      </c>
      <c r="M213" s="1346" t="s">
        <v>4685</v>
      </c>
      <c r="N213" s="581" t="s">
        <v>2057</v>
      </c>
      <c r="O213" s="721" t="s">
        <v>5127</v>
      </c>
      <c r="P213" s="150" t="s">
        <v>5128</v>
      </c>
      <c r="Q213" s="279"/>
      <c r="R213" s="98"/>
      <c r="S213" s="146"/>
      <c r="T213" s="279" t="s">
        <v>83</v>
      </c>
      <c r="U213" s="279" t="s">
        <v>84</v>
      </c>
      <c r="W213" s="25"/>
      <c r="X213" s="25"/>
      <c r="Z213" s="25"/>
      <c r="AA213" s="77"/>
      <c r="AB213" s="77"/>
      <c r="AC213" s="272"/>
      <c r="AD213" s="40"/>
      <c r="AE213" s="77"/>
      <c r="AF213" s="77"/>
      <c r="AG213" s="77"/>
      <c r="AH213" s="77"/>
      <c r="AI213" s="77"/>
      <c r="AJ213" s="77"/>
      <c r="AK213" s="77"/>
    </row>
    <row r="214" spans="2:37" ht="10.5" customHeight="1">
      <c r="B214" s="146"/>
      <c r="C214" s="212" t="s">
        <v>5129</v>
      </c>
      <c r="D214" s="247"/>
      <c r="E214" s="146"/>
      <c r="F214" s="146" t="s">
        <v>336</v>
      </c>
      <c r="G214" s="578" t="s">
        <v>134</v>
      </c>
      <c r="H214" s="578" t="s">
        <v>4894</v>
      </c>
      <c r="I214" s="582" t="s">
        <v>4884</v>
      </c>
      <c r="J214" s="582" t="s">
        <v>4689</v>
      </c>
      <c r="K214" s="580" t="s">
        <v>4902</v>
      </c>
      <c r="L214" s="581" t="s">
        <v>4879</v>
      </c>
      <c r="M214" s="1346" t="s">
        <v>4685</v>
      </c>
      <c r="N214" s="581" t="s">
        <v>4903</v>
      </c>
      <c r="O214" s="721" t="s">
        <v>5130</v>
      </c>
      <c r="P214" s="150" t="s">
        <v>5131</v>
      </c>
      <c r="Q214" s="279"/>
      <c r="R214" s="98"/>
      <c r="S214" s="146"/>
      <c r="T214" s="279" t="s">
        <v>5132</v>
      </c>
      <c r="U214" s="279" t="s">
        <v>5133</v>
      </c>
      <c r="W214" s="25"/>
      <c r="X214" s="25"/>
      <c r="Z214" s="25"/>
      <c r="AA214" s="77"/>
      <c r="AB214" s="77"/>
      <c r="AC214" s="272"/>
      <c r="AD214" s="40"/>
      <c r="AE214" s="77"/>
      <c r="AF214" s="77"/>
      <c r="AG214" s="77"/>
      <c r="AH214" s="77"/>
      <c r="AI214" s="77"/>
      <c r="AJ214" s="77"/>
      <c r="AK214" s="77"/>
    </row>
    <row r="215" spans="2:37" ht="10.5" customHeight="1">
      <c r="B215" s="146"/>
      <c r="C215" s="212" t="s">
        <v>5134</v>
      </c>
      <c r="D215" s="247"/>
      <c r="E215" s="146"/>
      <c r="F215" s="146" t="s">
        <v>338</v>
      </c>
      <c r="G215" s="578" t="s">
        <v>5135</v>
      </c>
      <c r="H215" s="578" t="s">
        <v>4855</v>
      </c>
      <c r="I215" s="579" t="s">
        <v>5053</v>
      </c>
      <c r="J215" s="579" t="s">
        <v>4690</v>
      </c>
      <c r="K215" s="580" t="s">
        <v>5136</v>
      </c>
      <c r="L215" s="581" t="s">
        <v>4858</v>
      </c>
      <c r="M215" s="1346" t="s">
        <v>4688</v>
      </c>
      <c r="N215" s="581" t="s">
        <v>2057</v>
      </c>
      <c r="O215" s="721" t="s">
        <v>5137</v>
      </c>
      <c r="P215" s="150" t="s">
        <v>5138</v>
      </c>
      <c r="Q215" s="279"/>
      <c r="R215" s="98"/>
      <c r="S215" s="146"/>
      <c r="T215" s="279" t="s">
        <v>5139</v>
      </c>
      <c r="U215" s="279" t="s">
        <v>5063</v>
      </c>
      <c r="W215" s="25"/>
      <c r="X215" s="25"/>
      <c r="Z215" s="25"/>
      <c r="AA215" s="77"/>
      <c r="AB215" s="77"/>
      <c r="AC215" s="272"/>
      <c r="AD215" s="40"/>
      <c r="AE215" s="77"/>
      <c r="AF215" s="77"/>
      <c r="AG215" s="77"/>
      <c r="AH215" s="77"/>
      <c r="AI215" s="77"/>
      <c r="AJ215" s="77"/>
      <c r="AK215" s="77"/>
    </row>
    <row r="216" spans="2:37" ht="10.5" customHeight="1">
      <c r="B216" s="146"/>
      <c r="C216" s="212" t="s">
        <v>5140</v>
      </c>
      <c r="D216" s="247"/>
      <c r="E216" s="146"/>
      <c r="F216" s="146" t="s">
        <v>337</v>
      </c>
      <c r="G216" s="578" t="s">
        <v>5141</v>
      </c>
      <c r="H216" s="578" t="s">
        <v>4855</v>
      </c>
      <c r="I216" s="579" t="s">
        <v>2143</v>
      </c>
      <c r="J216" s="579" t="s">
        <v>4689</v>
      </c>
      <c r="K216" s="580" t="s">
        <v>4945</v>
      </c>
      <c r="L216" s="581" t="s">
        <v>4879</v>
      </c>
      <c r="M216" s="1346" t="s">
        <v>4688</v>
      </c>
      <c r="N216" s="581" t="s">
        <v>2143</v>
      </c>
      <c r="O216" s="721" t="s">
        <v>5142</v>
      </c>
      <c r="P216" s="150" t="s">
        <v>5143</v>
      </c>
      <c r="Q216" s="279"/>
      <c r="R216" s="98"/>
      <c r="S216" s="146"/>
      <c r="T216" s="279" t="s">
        <v>5144</v>
      </c>
      <c r="U216" s="279" t="s">
        <v>159</v>
      </c>
      <c r="W216" s="25"/>
      <c r="X216" s="25"/>
      <c r="Z216" s="25"/>
      <c r="AA216" s="77"/>
      <c r="AB216" s="77"/>
      <c r="AC216" s="272"/>
      <c r="AD216" s="40"/>
      <c r="AE216" s="77"/>
      <c r="AF216" s="77"/>
      <c r="AG216" s="77"/>
      <c r="AH216" s="77"/>
      <c r="AI216" s="77"/>
      <c r="AJ216" s="77"/>
      <c r="AK216" s="77"/>
    </row>
    <row r="217" spans="2:37" ht="10.5" customHeight="1">
      <c r="B217" s="146"/>
      <c r="C217" s="211" t="s">
        <v>5145</v>
      </c>
      <c r="D217" s="247"/>
      <c r="E217" s="146"/>
      <c r="F217" s="146" t="s">
        <v>339</v>
      </c>
      <c r="G217" s="578" t="s">
        <v>5146</v>
      </c>
      <c r="H217" s="578" t="s">
        <v>4855</v>
      </c>
      <c r="I217" s="582" t="s">
        <v>4859</v>
      </c>
      <c r="J217" s="582" t="s">
        <v>4689</v>
      </c>
      <c r="K217" s="580" t="s">
        <v>4951</v>
      </c>
      <c r="L217" s="581" t="s">
        <v>4879</v>
      </c>
      <c r="M217" s="1346" t="s">
        <v>4688</v>
      </c>
      <c r="N217" s="581" t="s">
        <v>4859</v>
      </c>
      <c r="O217" s="721" t="s">
        <v>5147</v>
      </c>
      <c r="P217" s="150" t="s">
        <v>5148</v>
      </c>
      <c r="Q217" s="150"/>
      <c r="R217" s="98"/>
      <c r="S217" s="146"/>
      <c r="T217" s="279" t="s">
        <v>5149</v>
      </c>
      <c r="U217" s="279" t="s">
        <v>5150</v>
      </c>
      <c r="W217" s="25"/>
      <c r="X217" s="25"/>
      <c r="Z217" s="25"/>
      <c r="AA217" s="77"/>
      <c r="AB217" s="77"/>
      <c r="AC217" s="272"/>
      <c r="AD217" s="272"/>
      <c r="AE217" s="77"/>
      <c r="AF217" s="77"/>
      <c r="AG217" s="77"/>
      <c r="AH217" s="77"/>
      <c r="AI217" s="77"/>
      <c r="AJ217" s="77"/>
      <c r="AK217" s="77"/>
    </row>
    <row r="218" spans="2:37" ht="10.5" customHeight="1">
      <c r="B218" s="146"/>
      <c r="C218" s="212" t="s">
        <v>5151</v>
      </c>
      <c r="D218" s="247"/>
      <c r="E218" s="146"/>
      <c r="F218" s="294"/>
      <c r="G218" s="578" t="s">
        <v>5152</v>
      </c>
      <c r="H218" s="578" t="s">
        <v>4894</v>
      </c>
      <c r="I218" s="579" t="s">
        <v>5057</v>
      </c>
      <c r="J218" s="579" t="s">
        <v>4690</v>
      </c>
      <c r="K218" s="580" t="s">
        <v>5153</v>
      </c>
      <c r="L218" s="581" t="s">
        <v>4858</v>
      </c>
      <c r="M218" s="1346" t="s">
        <v>4688</v>
      </c>
      <c r="N218" s="581" t="s">
        <v>4897</v>
      </c>
      <c r="O218" s="721" t="s">
        <v>5154</v>
      </c>
      <c r="P218" s="150" t="s">
        <v>5155</v>
      </c>
      <c r="Q218" s="150"/>
      <c r="R218" s="98"/>
      <c r="S218" s="146"/>
      <c r="T218" s="279" t="s">
        <v>5156</v>
      </c>
      <c r="U218" s="279" t="s">
        <v>5157</v>
      </c>
      <c r="W218" s="25"/>
      <c r="X218" s="25"/>
      <c r="Z218" s="25"/>
      <c r="AA218" s="77"/>
      <c r="AB218" s="77"/>
      <c r="AC218" s="272"/>
      <c r="AD218" s="40"/>
      <c r="AE218" s="77"/>
      <c r="AF218" s="77"/>
      <c r="AG218" s="77"/>
      <c r="AH218" s="77"/>
      <c r="AI218" s="77"/>
      <c r="AJ218" s="77"/>
      <c r="AK218" s="77"/>
    </row>
    <row r="219" spans="2:37" ht="10.5" customHeight="1">
      <c r="B219" s="146"/>
      <c r="C219" s="211" t="s">
        <v>5158</v>
      </c>
      <c r="D219" s="247"/>
      <c r="E219" s="146"/>
      <c r="F219" s="294"/>
      <c r="G219" s="578" t="s">
        <v>5159</v>
      </c>
      <c r="H219" s="578" t="s">
        <v>4855</v>
      </c>
      <c r="I219" s="579" t="s">
        <v>5062</v>
      </c>
      <c r="J219" s="579" t="s">
        <v>4690</v>
      </c>
      <c r="K219" s="580" t="s">
        <v>5160</v>
      </c>
      <c r="L219" s="581" t="s">
        <v>4858</v>
      </c>
      <c r="M219" s="1346" t="s">
        <v>4688</v>
      </c>
      <c r="N219" s="581" t="s">
        <v>4963</v>
      </c>
      <c r="O219" s="721" t="s">
        <v>5161</v>
      </c>
      <c r="P219" s="150" t="s">
        <v>5162</v>
      </c>
      <c r="Q219" s="150"/>
      <c r="R219" s="98"/>
      <c r="S219" s="146"/>
      <c r="T219" s="146" t="s">
        <v>5163</v>
      </c>
      <c r="U219" s="146" t="s">
        <v>5164</v>
      </c>
      <c r="W219" s="25"/>
      <c r="X219" s="25"/>
      <c r="Z219" s="25"/>
      <c r="AA219" s="77"/>
      <c r="AB219" s="77"/>
      <c r="AC219" s="40"/>
      <c r="AD219" s="40"/>
      <c r="AE219" s="77"/>
      <c r="AF219" s="77"/>
      <c r="AG219" s="77"/>
      <c r="AH219" s="77"/>
      <c r="AI219" s="77"/>
      <c r="AJ219" s="77"/>
      <c r="AK219" s="77"/>
    </row>
    <row r="220" spans="2:37" ht="10.5" customHeight="1">
      <c r="B220" s="146"/>
      <c r="C220" s="212" t="s">
        <v>5165</v>
      </c>
      <c r="D220" s="247"/>
      <c r="E220" s="146"/>
      <c r="F220" s="294"/>
      <c r="G220" s="578" t="s">
        <v>105</v>
      </c>
      <c r="H220" s="578" t="s">
        <v>4855</v>
      </c>
      <c r="I220" s="579" t="s">
        <v>5069</v>
      </c>
      <c r="J220" s="579" t="s">
        <v>4690</v>
      </c>
      <c r="K220" s="580" t="s">
        <v>5166</v>
      </c>
      <c r="L220" s="581" t="s">
        <v>4858</v>
      </c>
      <c r="M220" s="1346" t="s">
        <v>4688</v>
      </c>
      <c r="N220" s="581" t="s">
        <v>4859</v>
      </c>
      <c r="O220" s="721" t="s">
        <v>5167</v>
      </c>
      <c r="P220" s="150" t="s">
        <v>5168</v>
      </c>
      <c r="Q220" s="150"/>
      <c r="R220" s="98"/>
      <c r="S220" s="146"/>
      <c r="T220" s="279" t="s">
        <v>5169</v>
      </c>
      <c r="U220" s="279" t="s">
        <v>5170</v>
      </c>
      <c r="W220" s="25"/>
      <c r="X220" s="25"/>
      <c r="Z220" s="25"/>
      <c r="AA220" s="77"/>
      <c r="AB220" s="77"/>
      <c r="AC220" s="272"/>
      <c r="AD220" s="272"/>
      <c r="AE220" s="77"/>
      <c r="AF220" s="77"/>
      <c r="AG220" s="77"/>
      <c r="AH220" s="77"/>
      <c r="AI220" s="77"/>
      <c r="AJ220" s="77"/>
      <c r="AK220" s="77"/>
    </row>
    <row r="221" spans="2:37" ht="10.5" customHeight="1">
      <c r="B221" s="146"/>
      <c r="C221" s="212" t="s">
        <v>5171</v>
      </c>
      <c r="D221" s="247"/>
      <c r="E221" s="146"/>
      <c r="F221" s="294"/>
      <c r="G221" s="578" t="s">
        <v>5172</v>
      </c>
      <c r="H221" s="578" t="s">
        <v>4894</v>
      </c>
      <c r="I221" s="579" t="s">
        <v>5074</v>
      </c>
      <c r="J221" s="579" t="s">
        <v>4690</v>
      </c>
      <c r="K221" s="580" t="s">
        <v>5173</v>
      </c>
      <c r="L221" s="581" t="s">
        <v>4858</v>
      </c>
      <c r="M221" s="1346" t="s">
        <v>4688</v>
      </c>
      <c r="N221" s="581" t="s">
        <v>4903</v>
      </c>
      <c r="O221" s="721" t="s">
        <v>5174</v>
      </c>
      <c r="P221" s="150" t="s">
        <v>5175</v>
      </c>
      <c r="Q221" s="150"/>
      <c r="R221" s="98"/>
      <c r="S221" s="146"/>
      <c r="T221" s="279" t="s">
        <v>86</v>
      </c>
      <c r="U221" s="279" t="s">
        <v>87</v>
      </c>
      <c r="W221" s="25"/>
      <c r="X221" s="25"/>
      <c r="Z221" s="25"/>
      <c r="AA221" s="77"/>
      <c r="AB221" s="77"/>
      <c r="AC221" s="272"/>
      <c r="AD221" s="40"/>
      <c r="AE221" s="77"/>
      <c r="AF221" s="77"/>
      <c r="AG221" s="77"/>
      <c r="AH221" s="77"/>
      <c r="AI221" s="77"/>
      <c r="AJ221" s="77"/>
      <c r="AK221" s="77"/>
    </row>
    <row r="222" spans="2:37" ht="10.5" customHeight="1">
      <c r="B222" s="146"/>
      <c r="C222" s="212" t="s">
        <v>5176</v>
      </c>
      <c r="D222" s="247"/>
      <c r="E222" s="146"/>
      <c r="F222" s="294"/>
      <c r="G222" s="578" t="s">
        <v>5177</v>
      </c>
      <c r="H222" s="578" t="s">
        <v>4894</v>
      </c>
      <c r="I222" s="582" t="s">
        <v>4884</v>
      </c>
      <c r="J222" s="582" t="s">
        <v>4689</v>
      </c>
      <c r="K222" s="580" t="s">
        <v>4902</v>
      </c>
      <c r="L222" s="581" t="s">
        <v>4879</v>
      </c>
      <c r="M222" s="1346" t="s">
        <v>4685</v>
      </c>
      <c r="N222" s="581" t="s">
        <v>4903</v>
      </c>
      <c r="O222" s="721" t="s">
        <v>5178</v>
      </c>
      <c r="P222" s="150" t="s">
        <v>5179</v>
      </c>
      <c r="Q222" s="150"/>
      <c r="R222" s="98"/>
      <c r="S222" s="146"/>
      <c r="T222" s="279" t="s">
        <v>5180</v>
      </c>
      <c r="U222" s="279" t="s">
        <v>5181</v>
      </c>
      <c r="W222" s="25"/>
      <c r="X222" s="25"/>
      <c r="Z222" s="25"/>
      <c r="AA222" s="77"/>
      <c r="AB222" s="77"/>
      <c r="AC222" s="272"/>
      <c r="AD222" s="40"/>
      <c r="AE222" s="77"/>
      <c r="AF222" s="77"/>
      <c r="AG222" s="77"/>
      <c r="AH222" s="77"/>
      <c r="AI222" s="77"/>
      <c r="AJ222" s="77"/>
      <c r="AK222" s="77"/>
    </row>
    <row r="223" spans="2:37" ht="10.5" customHeight="1">
      <c r="B223" s="146"/>
      <c r="C223" s="212" t="s">
        <v>5182</v>
      </c>
      <c r="D223" s="247"/>
      <c r="E223" s="146"/>
      <c r="F223" s="294"/>
      <c r="G223" s="578" t="s">
        <v>164</v>
      </c>
      <c r="H223" s="578" t="s">
        <v>4894</v>
      </c>
      <c r="I223" s="582" t="s">
        <v>2132</v>
      </c>
      <c r="J223" s="582" t="s">
        <v>4689</v>
      </c>
      <c r="K223" s="580" t="s">
        <v>5183</v>
      </c>
      <c r="L223" s="581" t="s">
        <v>4879</v>
      </c>
      <c r="M223" s="1346" t="s">
        <v>4685</v>
      </c>
      <c r="N223" s="581" t="s">
        <v>4903</v>
      </c>
      <c r="O223" s="721" t="s">
        <v>5184</v>
      </c>
      <c r="P223" s="150" t="s">
        <v>5185</v>
      </c>
      <c r="Q223" s="150"/>
      <c r="R223" s="98"/>
      <c r="S223" s="146"/>
      <c r="T223" s="279" t="s">
        <v>5186</v>
      </c>
      <c r="U223" s="279" t="s">
        <v>5135</v>
      </c>
      <c r="W223" s="25"/>
      <c r="X223" s="25"/>
      <c r="Z223" s="25"/>
      <c r="AA223" s="77"/>
      <c r="AB223" s="77"/>
      <c r="AC223" s="272"/>
      <c r="AD223" s="40"/>
      <c r="AE223" s="77"/>
      <c r="AF223" s="77"/>
      <c r="AG223" s="77"/>
      <c r="AH223" s="77"/>
      <c r="AI223" s="77"/>
      <c r="AJ223" s="77"/>
      <c r="AK223" s="77"/>
    </row>
    <row r="224" spans="2:37" ht="10.5" customHeight="1">
      <c r="B224" s="146"/>
      <c r="C224" s="212" t="s">
        <v>5187</v>
      </c>
      <c r="D224" s="247"/>
      <c r="E224" s="146"/>
      <c r="F224" s="294"/>
      <c r="G224" s="578" t="s">
        <v>5188</v>
      </c>
      <c r="H224" s="578" t="s">
        <v>4894</v>
      </c>
      <c r="I224" s="582" t="s">
        <v>4884</v>
      </c>
      <c r="J224" s="582" t="s">
        <v>4689</v>
      </c>
      <c r="K224" s="580" t="s">
        <v>4902</v>
      </c>
      <c r="L224" s="581" t="s">
        <v>4879</v>
      </c>
      <c r="M224" s="1346" t="s">
        <v>4685</v>
      </c>
      <c r="N224" s="581" t="s">
        <v>4903</v>
      </c>
      <c r="O224" s="721" t="s">
        <v>5189</v>
      </c>
      <c r="P224" s="150" t="s">
        <v>5190</v>
      </c>
      <c r="Q224" s="150"/>
      <c r="R224" s="98"/>
      <c r="S224" s="146"/>
      <c r="T224" s="279" t="s">
        <v>5191</v>
      </c>
      <c r="U224" s="279" t="s">
        <v>126</v>
      </c>
      <c r="W224" s="25"/>
      <c r="X224" s="25"/>
      <c r="Z224" s="25"/>
      <c r="AA224" s="77"/>
      <c r="AB224" s="77"/>
      <c r="AC224" s="272"/>
      <c r="AD224" s="40"/>
      <c r="AE224" s="77"/>
      <c r="AF224" s="77"/>
      <c r="AG224" s="77"/>
      <c r="AH224" s="77"/>
      <c r="AI224" s="77"/>
      <c r="AJ224" s="77"/>
      <c r="AK224" s="77"/>
    </row>
    <row r="225" spans="2:37" ht="10.5" customHeight="1">
      <c r="B225" s="146"/>
      <c r="C225" s="212" t="s">
        <v>5192</v>
      </c>
      <c r="D225" s="247"/>
      <c r="E225" s="146"/>
      <c r="F225" s="294"/>
      <c r="G225" s="578" t="s">
        <v>5193</v>
      </c>
      <c r="H225" s="578" t="s">
        <v>4894</v>
      </c>
      <c r="I225" s="582" t="s">
        <v>5079</v>
      </c>
      <c r="J225" s="582" t="s">
        <v>4690</v>
      </c>
      <c r="K225" s="580" t="s">
        <v>5194</v>
      </c>
      <c r="L225" s="581" t="s">
        <v>4858</v>
      </c>
      <c r="M225" s="1346" t="s">
        <v>4688</v>
      </c>
      <c r="N225" s="581" t="s">
        <v>4897</v>
      </c>
      <c r="O225" s="721" t="s">
        <v>5195</v>
      </c>
      <c r="P225" s="150" t="s">
        <v>5196</v>
      </c>
      <c r="Q225" s="150"/>
      <c r="R225" s="98"/>
      <c r="S225" s="146"/>
      <c r="T225" s="279" t="s">
        <v>5197</v>
      </c>
      <c r="U225" s="279" t="s">
        <v>5172</v>
      </c>
      <c r="W225" s="25"/>
      <c r="X225" s="25"/>
      <c r="Z225" s="25"/>
      <c r="AA225" s="77"/>
      <c r="AB225" s="77"/>
      <c r="AC225" s="272"/>
      <c r="AD225" s="40"/>
      <c r="AE225" s="77"/>
      <c r="AF225" s="77"/>
      <c r="AG225" s="77"/>
      <c r="AH225" s="77"/>
      <c r="AI225" s="77"/>
      <c r="AJ225" s="77"/>
      <c r="AK225" s="77"/>
    </row>
    <row r="226" spans="2:37" ht="10.5" customHeight="1">
      <c r="B226" s="146"/>
      <c r="C226" s="212" t="s">
        <v>5198</v>
      </c>
      <c r="D226" s="247"/>
      <c r="E226" s="146"/>
      <c r="F226" s="294"/>
      <c r="G226" s="578" t="s">
        <v>142</v>
      </c>
      <c r="H226" s="578" t="s">
        <v>4924</v>
      </c>
      <c r="I226" s="582" t="s">
        <v>4884</v>
      </c>
      <c r="J226" s="582" t="s">
        <v>4689</v>
      </c>
      <c r="K226" s="580" t="s">
        <v>4902</v>
      </c>
      <c r="L226" s="581" t="s">
        <v>4879</v>
      </c>
      <c r="M226" s="1346" t="s">
        <v>4685</v>
      </c>
      <c r="N226" s="581" t="s">
        <v>4903</v>
      </c>
      <c r="O226" s="721" t="s">
        <v>5199</v>
      </c>
      <c r="P226" s="150" t="s">
        <v>5200</v>
      </c>
      <c r="Q226" s="150"/>
      <c r="R226" s="98"/>
      <c r="S226" s="146"/>
      <c r="T226" s="279" t="s">
        <v>5201</v>
      </c>
      <c r="U226" s="279" t="s">
        <v>5039</v>
      </c>
      <c r="W226" s="25"/>
      <c r="X226" s="25"/>
      <c r="Z226" s="25"/>
      <c r="AA226" s="77"/>
      <c r="AB226" s="77"/>
      <c r="AC226" s="272"/>
      <c r="AD226" s="40"/>
      <c r="AE226" s="77"/>
      <c r="AF226" s="77"/>
      <c r="AG226" s="77"/>
      <c r="AH226" s="77"/>
      <c r="AI226" s="77"/>
      <c r="AJ226" s="77"/>
      <c r="AK226" s="77"/>
    </row>
    <row r="227" spans="2:37" ht="10.5" customHeight="1">
      <c r="B227" s="146"/>
      <c r="C227" s="212" t="s">
        <v>4888</v>
      </c>
      <c r="D227" s="247"/>
      <c r="E227" s="146"/>
      <c r="F227" s="294"/>
      <c r="G227" s="578" t="s">
        <v>5202</v>
      </c>
      <c r="H227" s="578" t="s">
        <v>4894</v>
      </c>
      <c r="I227" s="579" t="s">
        <v>5089</v>
      </c>
      <c r="J227" s="579" t="s">
        <v>4690</v>
      </c>
      <c r="K227" s="580" t="s">
        <v>5203</v>
      </c>
      <c r="L227" s="581" t="s">
        <v>4858</v>
      </c>
      <c r="M227" s="1346" t="s">
        <v>4688</v>
      </c>
      <c r="N227" s="581" t="s">
        <v>4903</v>
      </c>
      <c r="O227" s="721" t="s">
        <v>5204</v>
      </c>
      <c r="P227" s="150" t="s">
        <v>5205</v>
      </c>
      <c r="Q227" s="150"/>
      <c r="R227" s="98"/>
      <c r="S227" s="146"/>
      <c r="T227" s="146" t="s">
        <v>5206</v>
      </c>
      <c r="U227" s="146" t="s">
        <v>5056</v>
      </c>
      <c r="W227" s="25"/>
      <c r="X227" s="25"/>
      <c r="Z227" s="25"/>
      <c r="AA227" s="77"/>
      <c r="AB227" s="77"/>
      <c r="AC227" s="40"/>
      <c r="AD227" s="40"/>
      <c r="AE227" s="77"/>
      <c r="AF227" s="77"/>
      <c r="AG227" s="77"/>
      <c r="AH227" s="77"/>
      <c r="AI227" s="77"/>
      <c r="AJ227" s="77"/>
      <c r="AK227" s="77"/>
    </row>
    <row r="228" spans="2:37" ht="10.5" customHeight="1">
      <c r="B228" s="146"/>
      <c r="C228" s="212" t="s">
        <v>5207</v>
      </c>
      <c r="D228" s="247"/>
      <c r="E228" s="146"/>
      <c r="F228" s="294"/>
      <c r="G228" s="578" t="s">
        <v>5208</v>
      </c>
      <c r="H228" s="578" t="s">
        <v>4894</v>
      </c>
      <c r="I228" s="582" t="s">
        <v>5093</v>
      </c>
      <c r="J228" s="582" t="s">
        <v>4690</v>
      </c>
      <c r="K228" s="580" t="s">
        <v>5209</v>
      </c>
      <c r="L228" s="581" t="s">
        <v>4858</v>
      </c>
      <c r="M228" s="1346" t="s">
        <v>4688</v>
      </c>
      <c r="N228" s="581" t="s">
        <v>4963</v>
      </c>
      <c r="O228" s="721" t="s">
        <v>5210</v>
      </c>
      <c r="P228" s="150" t="s">
        <v>5211</v>
      </c>
      <c r="Q228" s="150"/>
      <c r="R228" s="98"/>
      <c r="S228" s="146"/>
      <c r="T228" s="279" t="s">
        <v>5212</v>
      </c>
      <c r="U228" s="279" t="s">
        <v>5164</v>
      </c>
      <c r="W228" s="25"/>
      <c r="X228" s="25"/>
      <c r="Z228" s="25"/>
      <c r="AA228" s="77"/>
      <c r="AB228" s="77"/>
      <c r="AC228" s="272"/>
      <c r="AD228" s="40"/>
      <c r="AE228" s="77"/>
      <c r="AF228" s="77"/>
      <c r="AG228" s="77"/>
      <c r="AH228" s="77"/>
      <c r="AI228" s="77"/>
      <c r="AJ228" s="77"/>
      <c r="AK228" s="77"/>
    </row>
    <row r="229" spans="2:37" ht="10.5" customHeight="1">
      <c r="B229" s="146"/>
      <c r="C229" s="212" t="s">
        <v>5213</v>
      </c>
      <c r="D229" s="247"/>
      <c r="E229" s="146"/>
      <c r="F229" s="294"/>
      <c r="G229" s="578" t="s">
        <v>99</v>
      </c>
      <c r="H229" s="578" t="s">
        <v>4924</v>
      </c>
      <c r="I229" s="579" t="s">
        <v>4936</v>
      </c>
      <c r="J229" s="579" t="s">
        <v>4689</v>
      </c>
      <c r="K229" s="580" t="s">
        <v>4938</v>
      </c>
      <c r="L229" s="581" t="s">
        <v>4879</v>
      </c>
      <c r="M229" s="1346" t="s">
        <v>4685</v>
      </c>
      <c r="N229" s="581" t="s">
        <v>4859</v>
      </c>
      <c r="O229" s="721" t="s">
        <v>5214</v>
      </c>
      <c r="P229" s="150" t="s">
        <v>5215</v>
      </c>
      <c r="Q229" s="150"/>
      <c r="R229" s="98"/>
      <c r="S229" s="146"/>
      <c r="T229" s="279" t="s">
        <v>88</v>
      </c>
      <c r="U229" s="279" t="s">
        <v>89</v>
      </c>
      <c r="W229" s="25"/>
      <c r="X229" s="25"/>
      <c r="Z229" s="25"/>
      <c r="AA229" s="77"/>
      <c r="AB229" s="77"/>
      <c r="AC229" s="272"/>
      <c r="AD229" s="40"/>
      <c r="AE229" s="77"/>
      <c r="AF229" s="77"/>
      <c r="AG229" s="77"/>
      <c r="AH229" s="77"/>
      <c r="AI229" s="77"/>
      <c r="AJ229" s="77"/>
      <c r="AK229" s="77"/>
    </row>
    <row r="230" spans="2:37" ht="10.5" customHeight="1">
      <c r="B230" s="146"/>
      <c r="C230" s="212" t="s">
        <v>5216</v>
      </c>
      <c r="D230" s="247"/>
      <c r="E230" s="146"/>
      <c r="F230" s="294"/>
      <c r="G230" s="578" t="s">
        <v>5217</v>
      </c>
      <c r="H230" s="578" t="s">
        <v>4894</v>
      </c>
      <c r="I230" s="579" t="s">
        <v>5098</v>
      </c>
      <c r="J230" s="579" t="s">
        <v>4690</v>
      </c>
      <c r="K230" s="580" t="s">
        <v>5218</v>
      </c>
      <c r="L230" s="581" t="s">
        <v>4858</v>
      </c>
      <c r="M230" s="1346" t="s">
        <v>4688</v>
      </c>
      <c r="N230" s="581" t="s">
        <v>4903</v>
      </c>
      <c r="O230" s="721" t="s">
        <v>5219</v>
      </c>
      <c r="P230" s="150" t="s">
        <v>5220</v>
      </c>
      <c r="Q230" s="150"/>
      <c r="R230" s="98"/>
      <c r="S230" s="146"/>
      <c r="T230" s="279" t="s">
        <v>5221</v>
      </c>
      <c r="U230" s="279" t="s">
        <v>5112</v>
      </c>
      <c r="W230" s="25"/>
      <c r="X230" s="25"/>
      <c r="Z230" s="25"/>
      <c r="AA230" s="77"/>
      <c r="AB230" s="77"/>
      <c r="AC230" s="272"/>
      <c r="AD230" s="40"/>
      <c r="AE230" s="77"/>
      <c r="AF230" s="77"/>
      <c r="AG230" s="77"/>
      <c r="AH230" s="77"/>
      <c r="AI230" s="77"/>
      <c r="AJ230" s="77"/>
      <c r="AK230" s="77"/>
    </row>
    <row r="231" spans="2:37" ht="10.5" customHeight="1">
      <c r="B231" s="146"/>
      <c r="C231" s="212" t="s">
        <v>5222</v>
      </c>
      <c r="D231" s="247"/>
      <c r="E231" s="146"/>
      <c r="F231" s="294"/>
      <c r="G231" s="578" t="s">
        <v>5223</v>
      </c>
      <c r="H231" s="578" t="s">
        <v>4855</v>
      </c>
      <c r="I231" s="579" t="s">
        <v>5103</v>
      </c>
      <c r="J231" s="579" t="s">
        <v>4690</v>
      </c>
      <c r="K231" s="580" t="s">
        <v>5224</v>
      </c>
      <c r="L231" s="581" t="s">
        <v>4858</v>
      </c>
      <c r="M231" s="1346" t="s">
        <v>4688</v>
      </c>
      <c r="N231" s="581" t="s">
        <v>2057</v>
      </c>
      <c r="O231" s="721" t="s">
        <v>5225</v>
      </c>
      <c r="P231" s="150" t="s">
        <v>5226</v>
      </c>
      <c r="Q231" s="150"/>
      <c r="R231" s="98"/>
      <c r="S231" s="146"/>
      <c r="T231" s="279" t="s">
        <v>5227</v>
      </c>
      <c r="U231" s="279" t="s">
        <v>5228</v>
      </c>
      <c r="W231" s="25"/>
      <c r="X231" s="25"/>
      <c r="Z231" s="25"/>
      <c r="AA231" s="77"/>
      <c r="AB231" s="77"/>
      <c r="AC231" s="272"/>
      <c r="AD231" s="40"/>
      <c r="AE231" s="77"/>
      <c r="AF231" s="77"/>
      <c r="AG231" s="77"/>
      <c r="AH231" s="77"/>
      <c r="AI231" s="77"/>
      <c r="AJ231" s="77"/>
      <c r="AK231" s="77"/>
    </row>
    <row r="232" spans="2:37" ht="10.5" customHeight="1">
      <c r="B232" s="146"/>
      <c r="C232" s="212" t="s">
        <v>5229</v>
      </c>
      <c r="D232" s="247"/>
      <c r="E232" s="146"/>
      <c r="F232" s="294"/>
      <c r="G232" s="578" t="s">
        <v>5230</v>
      </c>
      <c r="H232" s="578" t="s">
        <v>4894</v>
      </c>
      <c r="I232" s="579" t="s">
        <v>5107</v>
      </c>
      <c r="J232" s="579" t="s">
        <v>4690</v>
      </c>
      <c r="K232" s="580" t="s">
        <v>5231</v>
      </c>
      <c r="L232" s="581" t="s">
        <v>4858</v>
      </c>
      <c r="M232" s="1346" t="s">
        <v>4688</v>
      </c>
      <c r="N232" s="581" t="s">
        <v>4897</v>
      </c>
      <c r="O232" s="721" t="s">
        <v>5232</v>
      </c>
      <c r="P232" s="150" t="s">
        <v>5233</v>
      </c>
      <c r="Q232" s="150"/>
      <c r="R232" s="98"/>
      <c r="S232" s="146"/>
      <c r="T232" s="279" t="s">
        <v>5234</v>
      </c>
      <c r="U232" s="279" t="s">
        <v>4992</v>
      </c>
      <c r="W232" s="25"/>
      <c r="X232" s="25"/>
      <c r="Z232" s="25"/>
      <c r="AA232" s="77"/>
      <c r="AB232" s="77"/>
      <c r="AC232" s="272"/>
      <c r="AD232" s="40"/>
      <c r="AE232" s="77"/>
      <c r="AF232" s="77"/>
      <c r="AG232" s="77"/>
      <c r="AH232" s="77"/>
      <c r="AI232" s="77"/>
      <c r="AJ232" s="77"/>
      <c r="AK232" s="77"/>
    </row>
    <row r="233" spans="2:37" ht="10.5" customHeight="1">
      <c r="B233" s="146"/>
      <c r="C233" s="212" t="s">
        <v>5235</v>
      </c>
      <c r="D233" s="247"/>
      <c r="E233" s="146"/>
      <c r="F233" s="294"/>
      <c r="G233" s="578" t="s">
        <v>5133</v>
      </c>
      <c r="H233" s="578" t="s">
        <v>4894</v>
      </c>
      <c r="I233" s="582" t="s">
        <v>4884</v>
      </c>
      <c r="J233" s="582" t="s">
        <v>4689</v>
      </c>
      <c r="K233" s="580" t="s">
        <v>4902</v>
      </c>
      <c r="L233" s="581" t="s">
        <v>4879</v>
      </c>
      <c r="M233" s="1346" t="s">
        <v>4685</v>
      </c>
      <c r="N233" s="581" t="s">
        <v>4903</v>
      </c>
      <c r="O233" s="721" t="s">
        <v>5236</v>
      </c>
      <c r="P233" s="150" t="s">
        <v>5237</v>
      </c>
      <c r="Q233" s="150"/>
      <c r="R233" s="98"/>
      <c r="S233" s="146"/>
      <c r="T233" s="279" t="s">
        <v>5238</v>
      </c>
      <c r="U233" s="279" t="s">
        <v>155</v>
      </c>
      <c r="W233" s="25"/>
      <c r="X233" s="25"/>
      <c r="Z233" s="25"/>
      <c r="AA233" s="77"/>
      <c r="AB233" s="77"/>
      <c r="AC233" s="272"/>
      <c r="AD233" s="40"/>
      <c r="AE233" s="77"/>
      <c r="AF233" s="77"/>
      <c r="AG233" s="77"/>
      <c r="AH233" s="77"/>
      <c r="AI233" s="77"/>
      <c r="AJ233" s="77"/>
      <c r="AK233" s="77"/>
    </row>
    <row r="234" spans="2:37" ht="10.5" customHeight="1">
      <c r="B234" s="146"/>
      <c r="C234" s="211" t="s">
        <v>5239</v>
      </c>
      <c r="D234" s="247"/>
      <c r="E234" s="146"/>
      <c r="F234" s="294"/>
      <c r="G234" s="578" t="s">
        <v>152</v>
      </c>
      <c r="H234" s="578" t="s">
        <v>4894</v>
      </c>
      <c r="I234" s="579" t="s">
        <v>5113</v>
      </c>
      <c r="J234" s="579" t="s">
        <v>4690</v>
      </c>
      <c r="K234" s="580" t="s">
        <v>5240</v>
      </c>
      <c r="L234" s="581" t="s">
        <v>4858</v>
      </c>
      <c r="M234" s="1346" t="s">
        <v>4688</v>
      </c>
      <c r="N234" s="581" t="s">
        <v>4897</v>
      </c>
      <c r="O234" s="721" t="s">
        <v>5241</v>
      </c>
      <c r="P234" s="150" t="s">
        <v>5242</v>
      </c>
      <c r="Q234" s="150"/>
      <c r="R234" s="98"/>
      <c r="S234" s="146"/>
      <c r="T234" s="279" t="s">
        <v>5243</v>
      </c>
      <c r="U234" s="279" t="s">
        <v>5152</v>
      </c>
      <c r="W234" s="25"/>
      <c r="X234" s="25"/>
      <c r="Z234" s="25"/>
      <c r="AA234" s="77"/>
      <c r="AB234" s="77"/>
      <c r="AC234" s="40"/>
      <c r="AD234" s="40"/>
      <c r="AE234" s="77"/>
      <c r="AF234" s="77"/>
      <c r="AG234" s="77"/>
      <c r="AH234" s="77"/>
      <c r="AI234" s="77"/>
      <c r="AJ234" s="77"/>
      <c r="AK234" s="77"/>
    </row>
    <row r="235" spans="2:37" ht="10.5" customHeight="1">
      <c r="B235" s="146"/>
      <c r="C235" s="212" t="s">
        <v>5244</v>
      </c>
      <c r="D235" s="247"/>
      <c r="E235" s="146"/>
      <c r="F235" s="294"/>
      <c r="G235" s="578" t="s">
        <v>5245</v>
      </c>
      <c r="H235" s="578" t="s">
        <v>4894</v>
      </c>
      <c r="I235" s="579" t="s">
        <v>5084</v>
      </c>
      <c r="J235" s="579" t="s">
        <v>4689</v>
      </c>
      <c r="K235" s="580" t="s">
        <v>5246</v>
      </c>
      <c r="L235" s="581" t="s">
        <v>4879</v>
      </c>
      <c r="M235" s="1346" t="s">
        <v>4685</v>
      </c>
      <c r="N235" s="581" t="s">
        <v>4903</v>
      </c>
      <c r="O235" s="721" t="s">
        <v>5247</v>
      </c>
      <c r="P235" s="150" t="s">
        <v>5248</v>
      </c>
      <c r="Q235" s="150"/>
      <c r="R235" s="98"/>
      <c r="S235" s="146"/>
      <c r="T235" s="279" t="s">
        <v>5249</v>
      </c>
      <c r="U235" s="279" t="s">
        <v>5009</v>
      </c>
      <c r="W235" s="25"/>
      <c r="X235" s="25"/>
      <c r="Z235" s="25"/>
      <c r="AA235" s="77"/>
      <c r="AB235" s="77"/>
      <c r="AC235" s="272"/>
      <c r="AD235" s="40"/>
      <c r="AE235" s="77"/>
      <c r="AF235" s="77"/>
      <c r="AG235" s="77"/>
      <c r="AH235" s="77"/>
      <c r="AI235" s="77"/>
      <c r="AJ235" s="77"/>
      <c r="AK235" s="77"/>
    </row>
    <row r="236" spans="2:37" ht="10.5" customHeight="1">
      <c r="B236" s="146"/>
      <c r="C236" s="212" t="s">
        <v>5250</v>
      </c>
      <c r="D236" s="247"/>
      <c r="E236" s="146"/>
      <c r="F236" s="294"/>
      <c r="G236" s="583" t="s">
        <v>5251</v>
      </c>
      <c r="H236" s="578" t="s">
        <v>4894</v>
      </c>
      <c r="I236" s="579" t="s">
        <v>5119</v>
      </c>
      <c r="J236" s="579" t="s">
        <v>4690</v>
      </c>
      <c r="K236" s="580" t="s">
        <v>5252</v>
      </c>
      <c r="L236" s="581" t="s">
        <v>4858</v>
      </c>
      <c r="M236" s="1346" t="s">
        <v>4688</v>
      </c>
      <c r="N236" s="581" t="s">
        <v>4888</v>
      </c>
      <c r="O236" s="721" t="s">
        <v>5253</v>
      </c>
      <c r="P236" s="150" t="s">
        <v>5254</v>
      </c>
      <c r="Q236" s="150"/>
      <c r="R236" s="98"/>
      <c r="S236" s="146"/>
      <c r="T236" s="279" t="s">
        <v>5255</v>
      </c>
      <c r="U236" s="279" t="s">
        <v>5256</v>
      </c>
      <c r="W236" s="25"/>
      <c r="X236" s="25"/>
      <c r="Z236" s="25"/>
      <c r="AA236" s="77"/>
      <c r="AB236" s="77"/>
      <c r="AC236" s="272"/>
      <c r="AD236" s="40"/>
      <c r="AE236" s="77"/>
      <c r="AF236" s="77"/>
      <c r="AG236" s="77"/>
      <c r="AH236" s="77"/>
      <c r="AI236" s="77"/>
      <c r="AJ236" s="77"/>
      <c r="AK236" s="77"/>
    </row>
    <row r="237" spans="2:37" ht="10.5" customHeight="1">
      <c r="B237" s="146"/>
      <c r="C237" s="212" t="s">
        <v>5257</v>
      </c>
      <c r="D237" s="247"/>
      <c r="E237" s="146"/>
      <c r="F237" s="294"/>
      <c r="G237" s="578" t="s">
        <v>5258</v>
      </c>
      <c r="H237" s="578" t="s">
        <v>4894</v>
      </c>
      <c r="I237" s="582" t="s">
        <v>5125</v>
      </c>
      <c r="J237" s="582" t="s">
        <v>4689</v>
      </c>
      <c r="K237" s="580" t="s">
        <v>5259</v>
      </c>
      <c r="L237" s="581" t="s">
        <v>4879</v>
      </c>
      <c r="M237" s="1346" t="s">
        <v>4688</v>
      </c>
      <c r="N237" s="581" t="s">
        <v>4903</v>
      </c>
      <c r="O237" s="721" t="s">
        <v>5260</v>
      </c>
      <c r="P237" s="150" t="s">
        <v>5261</v>
      </c>
      <c r="Q237" s="150"/>
      <c r="R237" s="98"/>
      <c r="S237" s="146"/>
      <c r="T237" s="279" t="s">
        <v>5262</v>
      </c>
      <c r="U237" s="279" t="s">
        <v>5258</v>
      </c>
      <c r="W237" s="25"/>
      <c r="X237" s="25"/>
      <c r="Z237" s="25"/>
      <c r="AA237" s="77"/>
      <c r="AB237" s="77"/>
      <c r="AC237" s="272"/>
      <c r="AD237" s="40"/>
      <c r="AE237" s="77"/>
      <c r="AF237" s="77"/>
      <c r="AG237" s="77"/>
      <c r="AH237" s="77"/>
      <c r="AI237" s="77"/>
      <c r="AJ237" s="77"/>
      <c r="AK237" s="77"/>
    </row>
    <row r="238" spans="2:37" ht="10.5" customHeight="1">
      <c r="B238" s="146"/>
      <c r="C238" s="212" t="s">
        <v>5263</v>
      </c>
      <c r="D238" s="247"/>
      <c r="E238" s="146"/>
      <c r="F238" s="294"/>
      <c r="G238" s="578" t="s">
        <v>5264</v>
      </c>
      <c r="H238" s="578" t="s">
        <v>4855</v>
      </c>
      <c r="I238" s="582" t="s">
        <v>5015</v>
      </c>
      <c r="J238" s="582" t="s">
        <v>4689</v>
      </c>
      <c r="K238" s="580" t="s">
        <v>5017</v>
      </c>
      <c r="L238" s="581" t="s">
        <v>4879</v>
      </c>
      <c r="M238" s="1346" t="s">
        <v>4688</v>
      </c>
      <c r="N238" s="581" t="s">
        <v>5015</v>
      </c>
      <c r="O238" s="721" t="s">
        <v>5265</v>
      </c>
      <c r="P238" s="150" t="s">
        <v>5266</v>
      </c>
      <c r="Q238" s="150"/>
      <c r="R238" s="98"/>
      <c r="S238" s="146"/>
      <c r="T238" s="279" t="s">
        <v>5267</v>
      </c>
      <c r="U238" s="279" t="s">
        <v>5047</v>
      </c>
      <c r="W238" s="25"/>
      <c r="X238" s="25"/>
      <c r="Z238" s="25"/>
      <c r="AA238" s="77"/>
      <c r="AB238" s="77"/>
      <c r="AC238" s="272"/>
      <c r="AD238" s="40"/>
      <c r="AE238" s="77"/>
      <c r="AF238" s="77"/>
      <c r="AG238" s="77"/>
      <c r="AH238" s="77"/>
      <c r="AI238" s="77"/>
      <c r="AJ238" s="77"/>
      <c r="AK238" s="77"/>
    </row>
    <row r="239" spans="2:37" ht="10.5" customHeight="1">
      <c r="B239" s="146"/>
      <c r="C239" s="211" t="s">
        <v>5268</v>
      </c>
      <c r="D239" s="247"/>
      <c r="E239" s="146"/>
      <c r="F239" s="294"/>
      <c r="G239" s="578" t="s">
        <v>155</v>
      </c>
      <c r="H239" s="578" t="s">
        <v>4894</v>
      </c>
      <c r="I239" s="579" t="s">
        <v>5129</v>
      </c>
      <c r="J239" s="579" t="s">
        <v>4690</v>
      </c>
      <c r="K239" s="580" t="s">
        <v>5269</v>
      </c>
      <c r="L239" s="581" t="s">
        <v>4858</v>
      </c>
      <c r="M239" s="1346" t="s">
        <v>4688</v>
      </c>
      <c r="N239" s="581" t="s">
        <v>4897</v>
      </c>
      <c r="O239" s="721" t="s">
        <v>5270</v>
      </c>
      <c r="P239" s="150" t="s">
        <v>5271</v>
      </c>
      <c r="Q239" s="150"/>
      <c r="R239" s="98"/>
      <c r="S239" s="146"/>
      <c r="T239" s="279" t="s">
        <v>5272</v>
      </c>
      <c r="U239" s="279" t="s">
        <v>5273</v>
      </c>
      <c r="W239" s="25"/>
      <c r="X239" s="25"/>
      <c r="Z239" s="25"/>
      <c r="AA239" s="77"/>
      <c r="AB239" s="77"/>
      <c r="AC239" s="272"/>
      <c r="AD239" s="40"/>
      <c r="AE239" s="77"/>
      <c r="AF239" s="77"/>
      <c r="AG239" s="77"/>
      <c r="AH239" s="77"/>
      <c r="AI239" s="77"/>
      <c r="AJ239" s="77"/>
      <c r="AK239" s="77"/>
    </row>
    <row r="240" spans="2:37" ht="10.5" customHeight="1">
      <c r="B240" s="146"/>
      <c r="C240" s="212" t="s">
        <v>5274</v>
      </c>
      <c r="D240" s="247"/>
      <c r="E240" s="146"/>
      <c r="F240" s="294"/>
      <c r="G240" s="578" t="s">
        <v>5275</v>
      </c>
      <c r="H240" s="578" t="s">
        <v>4855</v>
      </c>
      <c r="I240" s="582" t="s">
        <v>4884</v>
      </c>
      <c r="J240" s="582" t="s">
        <v>4689</v>
      </c>
      <c r="K240" s="580" t="s">
        <v>4902</v>
      </c>
      <c r="L240" s="581" t="s">
        <v>4879</v>
      </c>
      <c r="M240" s="1346" t="s">
        <v>4685</v>
      </c>
      <c r="N240" s="581" t="s">
        <v>4903</v>
      </c>
      <c r="O240" s="721" t="s">
        <v>5276</v>
      </c>
      <c r="P240" s="150" t="s">
        <v>5277</v>
      </c>
      <c r="Q240" s="150"/>
      <c r="R240" s="98"/>
      <c r="S240" s="146"/>
      <c r="T240" s="279" t="s">
        <v>5278</v>
      </c>
      <c r="U240" s="279" t="s">
        <v>84</v>
      </c>
      <c r="W240" s="25"/>
      <c r="X240" s="25"/>
      <c r="Z240" s="25"/>
      <c r="AA240" s="77"/>
      <c r="AB240" s="77"/>
      <c r="AC240" s="272"/>
      <c r="AD240" s="40"/>
      <c r="AE240" s="77"/>
      <c r="AF240" s="77"/>
      <c r="AG240" s="77"/>
      <c r="AH240" s="77"/>
      <c r="AI240" s="77"/>
      <c r="AJ240" s="77"/>
      <c r="AK240" s="77"/>
    </row>
    <row r="241" spans="2:37" ht="10.5" customHeight="1">
      <c r="B241" s="146"/>
      <c r="C241" s="212" t="s">
        <v>5279</v>
      </c>
      <c r="D241" s="247"/>
      <c r="E241" s="146"/>
      <c r="F241" s="294"/>
      <c r="G241" s="578" t="s">
        <v>87</v>
      </c>
      <c r="H241" s="578" t="s">
        <v>4894</v>
      </c>
      <c r="I241" s="582" t="s">
        <v>4884</v>
      </c>
      <c r="J241" s="582" t="s">
        <v>4689</v>
      </c>
      <c r="K241" s="580" t="s">
        <v>4902</v>
      </c>
      <c r="L241" s="581" t="s">
        <v>4879</v>
      </c>
      <c r="M241" s="1346" t="s">
        <v>4685</v>
      </c>
      <c r="N241" s="581" t="s">
        <v>4903</v>
      </c>
      <c r="O241" s="721" t="s">
        <v>5280</v>
      </c>
      <c r="P241" s="150" t="s">
        <v>5281</v>
      </c>
      <c r="Q241" s="150"/>
      <c r="R241" s="98"/>
      <c r="S241" s="146"/>
      <c r="T241" s="279" t="s">
        <v>5282</v>
      </c>
      <c r="U241" s="279" t="s">
        <v>95</v>
      </c>
      <c r="W241" s="25"/>
      <c r="X241" s="25"/>
      <c r="Z241" s="25"/>
      <c r="AA241" s="77"/>
      <c r="AB241" s="77"/>
      <c r="AC241" s="272"/>
      <c r="AD241" s="40"/>
      <c r="AE241" s="77"/>
      <c r="AF241" s="77"/>
      <c r="AG241" s="77"/>
      <c r="AH241" s="77"/>
      <c r="AI241" s="77"/>
      <c r="AJ241" s="77"/>
      <c r="AK241" s="77"/>
    </row>
    <row r="242" spans="2:37" ht="10.5" customHeight="1">
      <c r="B242" s="146"/>
      <c r="C242" s="212" t="s">
        <v>5283</v>
      </c>
      <c r="D242" s="247"/>
      <c r="E242" s="146"/>
      <c r="F242" s="294"/>
      <c r="G242" s="578" t="s">
        <v>157</v>
      </c>
      <c r="H242" s="578" t="s">
        <v>4855</v>
      </c>
      <c r="I242" s="582" t="s">
        <v>2145</v>
      </c>
      <c r="J242" s="582" t="s">
        <v>4689</v>
      </c>
      <c r="K242" s="580" t="s">
        <v>5284</v>
      </c>
      <c r="L242" s="581" t="s">
        <v>4879</v>
      </c>
      <c r="M242" s="1346" t="s">
        <v>4685</v>
      </c>
      <c r="N242" s="581" t="s">
        <v>4888</v>
      </c>
      <c r="O242" s="721" t="s">
        <v>5285</v>
      </c>
      <c r="P242" s="150" t="s">
        <v>5286</v>
      </c>
      <c r="Q242" s="150"/>
      <c r="R242" s="98"/>
      <c r="S242" s="146"/>
      <c r="T242" s="279" t="s">
        <v>4944</v>
      </c>
      <c r="U242" s="279" t="s">
        <v>5177</v>
      </c>
      <c r="W242" s="25"/>
      <c r="X242" s="25"/>
      <c r="Z242" s="25"/>
      <c r="AA242" s="77"/>
      <c r="AB242" s="77"/>
      <c r="AC242" s="272"/>
      <c r="AD242" s="40"/>
      <c r="AE242" s="77"/>
      <c r="AF242" s="77"/>
      <c r="AG242" s="77"/>
      <c r="AH242" s="77"/>
      <c r="AI242" s="77"/>
      <c r="AJ242" s="77"/>
      <c r="AK242" s="77"/>
    </row>
    <row r="243" spans="2:37" ht="10.5" customHeight="1">
      <c r="B243" s="146"/>
      <c r="C243" s="211" t="s">
        <v>5287</v>
      </c>
      <c r="D243" s="247"/>
      <c r="E243" s="146"/>
      <c r="F243" s="294"/>
      <c r="G243" s="578" t="s">
        <v>5288</v>
      </c>
      <c r="H243" s="578" t="s">
        <v>4855</v>
      </c>
      <c r="I243" s="579" t="s">
        <v>5140</v>
      </c>
      <c r="J243" s="579" t="s">
        <v>4690</v>
      </c>
      <c r="K243" s="580" t="s">
        <v>5289</v>
      </c>
      <c r="L243" s="581" t="s">
        <v>4858</v>
      </c>
      <c r="M243" s="1346" t="s">
        <v>4688</v>
      </c>
      <c r="N243" s="581" t="s">
        <v>2057</v>
      </c>
      <c r="O243" s="721" t="s">
        <v>5290</v>
      </c>
      <c r="P243" s="150" t="s">
        <v>5291</v>
      </c>
      <c r="Q243" s="150"/>
      <c r="R243" s="98"/>
      <c r="S243" s="146"/>
      <c r="T243" s="279" t="s">
        <v>5292</v>
      </c>
      <c r="U243" s="279" t="s">
        <v>4973</v>
      </c>
      <c r="W243" s="25"/>
      <c r="X243" s="25"/>
      <c r="Z243" s="25"/>
      <c r="AA243" s="77"/>
      <c r="AB243" s="77"/>
      <c r="AC243" s="272"/>
      <c r="AD243" s="40"/>
      <c r="AE243" s="77"/>
      <c r="AF243" s="77"/>
      <c r="AG243" s="77"/>
      <c r="AH243" s="77"/>
      <c r="AI243" s="77"/>
      <c r="AJ243" s="77"/>
      <c r="AK243" s="77"/>
    </row>
    <row r="244" spans="2:37" ht="10.5" customHeight="1">
      <c r="B244" s="146"/>
      <c r="C244" s="211" t="s">
        <v>2132</v>
      </c>
      <c r="D244" s="247"/>
      <c r="E244" s="146"/>
      <c r="F244" s="294"/>
      <c r="G244" s="578" t="s">
        <v>5009</v>
      </c>
      <c r="H244" s="578" t="s">
        <v>4894</v>
      </c>
      <c r="I244" s="579" t="s">
        <v>5145</v>
      </c>
      <c r="J244" s="579" t="s">
        <v>4690</v>
      </c>
      <c r="K244" s="580" t="s">
        <v>5293</v>
      </c>
      <c r="L244" s="581" t="s">
        <v>4858</v>
      </c>
      <c r="M244" s="1346" t="s">
        <v>4688</v>
      </c>
      <c r="N244" s="581" t="s">
        <v>4903</v>
      </c>
      <c r="O244" s="721" t="s">
        <v>5294</v>
      </c>
      <c r="P244" s="150" t="s">
        <v>5295</v>
      </c>
      <c r="Q244" s="150"/>
      <c r="R244" s="98"/>
      <c r="S244" s="146"/>
      <c r="T244" s="279" t="s">
        <v>4936</v>
      </c>
      <c r="U244" s="279" t="s">
        <v>99</v>
      </c>
      <c r="W244" s="25"/>
      <c r="X244" s="25"/>
      <c r="Z244" s="25"/>
      <c r="AA244" s="77"/>
      <c r="AB244" s="77"/>
      <c r="AC244" s="272"/>
      <c r="AD244" s="40"/>
      <c r="AE244" s="77"/>
      <c r="AF244" s="77"/>
      <c r="AG244" s="77"/>
      <c r="AH244" s="77"/>
      <c r="AI244" s="77"/>
      <c r="AJ244" s="77"/>
      <c r="AK244" s="77"/>
    </row>
    <row r="245" spans="2:37" ht="10.5" customHeight="1">
      <c r="B245" s="146"/>
      <c r="C245" s="212" t="s">
        <v>4859</v>
      </c>
      <c r="D245" s="247"/>
      <c r="E245" s="146"/>
      <c r="F245" s="294"/>
      <c r="G245" s="578" t="s">
        <v>5296</v>
      </c>
      <c r="H245" s="578" t="s">
        <v>4894</v>
      </c>
      <c r="I245" s="582" t="s">
        <v>4884</v>
      </c>
      <c r="J245" s="582" t="s">
        <v>4689</v>
      </c>
      <c r="K245" s="580" t="s">
        <v>4902</v>
      </c>
      <c r="L245" s="581" t="s">
        <v>4879</v>
      </c>
      <c r="M245" s="1346" t="s">
        <v>4685</v>
      </c>
      <c r="N245" s="581" t="s">
        <v>4903</v>
      </c>
      <c r="O245" s="721" t="s">
        <v>5297</v>
      </c>
      <c r="P245" s="150" t="s">
        <v>5298</v>
      </c>
      <c r="Q245" s="150"/>
      <c r="R245" s="98"/>
      <c r="S245" s="146"/>
      <c r="T245" s="279" t="s">
        <v>5299</v>
      </c>
      <c r="U245" s="279" t="s">
        <v>5258</v>
      </c>
      <c r="W245" s="25"/>
      <c r="X245" s="25"/>
      <c r="Z245" s="25"/>
      <c r="AA245" s="77"/>
      <c r="AB245" s="77"/>
      <c r="AC245" s="272"/>
      <c r="AD245" s="40"/>
      <c r="AE245" s="77"/>
      <c r="AF245" s="77"/>
      <c r="AG245" s="77"/>
      <c r="AH245" s="77"/>
      <c r="AI245" s="77"/>
      <c r="AJ245" s="77"/>
      <c r="AK245" s="77"/>
    </row>
    <row r="246" spans="2:37" ht="10.5" customHeight="1">
      <c r="B246" s="146"/>
      <c r="C246" s="212" t="s">
        <v>5300</v>
      </c>
      <c r="D246" s="247"/>
      <c r="E246" s="146"/>
      <c r="F246" s="294"/>
      <c r="G246" s="578" t="s">
        <v>5301</v>
      </c>
      <c r="H246" s="578" t="s">
        <v>4855</v>
      </c>
      <c r="I246" s="579" t="s">
        <v>5151</v>
      </c>
      <c r="J246" s="579" t="s">
        <v>4690</v>
      </c>
      <c r="K246" s="580" t="s">
        <v>5302</v>
      </c>
      <c r="L246" s="581" t="s">
        <v>4858</v>
      </c>
      <c r="M246" s="1346" t="s">
        <v>4688</v>
      </c>
      <c r="N246" s="581" t="s">
        <v>2143</v>
      </c>
      <c r="O246" s="721" t="s">
        <v>5303</v>
      </c>
      <c r="P246" s="150" t="s">
        <v>5304</v>
      </c>
      <c r="Q246" s="150"/>
      <c r="R246" s="98"/>
      <c r="S246" s="146"/>
      <c r="T246" s="279" t="s">
        <v>5305</v>
      </c>
      <c r="U246" s="279" t="s">
        <v>5228</v>
      </c>
      <c r="W246" s="25"/>
      <c r="X246" s="25"/>
      <c r="Z246" s="25"/>
      <c r="AA246" s="77"/>
      <c r="AB246" s="77"/>
      <c r="AC246" s="272"/>
      <c r="AD246" s="40"/>
      <c r="AE246" s="77"/>
      <c r="AF246" s="77"/>
      <c r="AG246" s="77"/>
      <c r="AH246" s="77"/>
      <c r="AI246" s="77"/>
      <c r="AJ246" s="77"/>
      <c r="AK246" s="77"/>
    </row>
    <row r="247" spans="2:37" ht="10.5" customHeight="1">
      <c r="B247" s="146"/>
      <c r="C247" s="212" t="s">
        <v>5306</v>
      </c>
      <c r="D247" s="247"/>
      <c r="E247" s="146"/>
      <c r="F247" s="294"/>
      <c r="G247" s="578" t="s">
        <v>5073</v>
      </c>
      <c r="H247" s="578" t="s">
        <v>4855</v>
      </c>
      <c r="I247" s="579" t="s">
        <v>5158</v>
      </c>
      <c r="J247" s="579" t="s">
        <v>4690</v>
      </c>
      <c r="K247" s="580" t="s">
        <v>5307</v>
      </c>
      <c r="L247" s="581" t="s">
        <v>4858</v>
      </c>
      <c r="M247" s="1346" t="s">
        <v>4688</v>
      </c>
      <c r="N247" s="581" t="s">
        <v>4963</v>
      </c>
      <c r="O247" s="721" t="s">
        <v>5308</v>
      </c>
      <c r="P247" s="150" t="s">
        <v>5309</v>
      </c>
      <c r="Q247" s="150"/>
      <c r="R247" s="98"/>
      <c r="S247" s="146"/>
      <c r="T247" s="279" t="s">
        <v>5310</v>
      </c>
      <c r="U247" s="279" t="s">
        <v>5311</v>
      </c>
      <c r="W247" s="25"/>
      <c r="X247" s="25"/>
      <c r="Z247" s="25"/>
      <c r="AA247" s="77"/>
      <c r="AB247" s="77"/>
      <c r="AC247" s="272"/>
      <c r="AD247" s="40"/>
      <c r="AE247" s="77"/>
      <c r="AF247" s="77"/>
      <c r="AG247" s="77"/>
      <c r="AH247" s="77"/>
      <c r="AI247" s="77"/>
      <c r="AJ247" s="77"/>
      <c r="AK247" s="77"/>
    </row>
    <row r="248" spans="2:37" ht="10.5" customHeight="1">
      <c r="B248" s="146"/>
      <c r="C248" s="212" t="s">
        <v>5312</v>
      </c>
      <c r="D248" s="247"/>
      <c r="E248" s="146"/>
      <c r="F248" s="294"/>
      <c r="G248" s="578" t="s">
        <v>5313</v>
      </c>
      <c r="H248" s="578" t="s">
        <v>4855</v>
      </c>
      <c r="I248" s="579" t="s">
        <v>5165</v>
      </c>
      <c r="J248" s="579" t="s">
        <v>4690</v>
      </c>
      <c r="K248" s="580" t="s">
        <v>5314</v>
      </c>
      <c r="L248" s="581" t="s">
        <v>4858</v>
      </c>
      <c r="M248" s="1346" t="s">
        <v>4688</v>
      </c>
      <c r="N248" s="581" t="s">
        <v>4963</v>
      </c>
      <c r="O248" s="721" t="s">
        <v>5315</v>
      </c>
      <c r="P248" s="150" t="s">
        <v>5316</v>
      </c>
      <c r="Q248" s="150"/>
      <c r="R248" s="98"/>
      <c r="S248" s="146"/>
      <c r="T248" s="279" t="s">
        <v>5317</v>
      </c>
      <c r="U248" s="279" t="s">
        <v>5133</v>
      </c>
      <c r="W248" s="25"/>
      <c r="X248" s="25"/>
      <c r="Z248" s="25"/>
      <c r="AA248" s="77"/>
      <c r="AB248" s="77"/>
      <c r="AC248" s="272"/>
      <c r="AD248" s="40"/>
      <c r="AE248" s="77"/>
      <c r="AF248" s="77"/>
      <c r="AG248" s="77"/>
      <c r="AH248" s="77"/>
      <c r="AI248" s="77"/>
      <c r="AJ248" s="77"/>
      <c r="AK248" s="77"/>
    </row>
    <row r="249" spans="2:37" ht="10.5" customHeight="1">
      <c r="B249" s="146"/>
      <c r="C249" s="212" t="s">
        <v>5318</v>
      </c>
      <c r="D249" s="247"/>
      <c r="E249" s="146"/>
      <c r="F249" s="294"/>
      <c r="G249" s="578" t="s">
        <v>4901</v>
      </c>
      <c r="H249" s="578" t="s">
        <v>4855</v>
      </c>
      <c r="I249" s="579" t="s">
        <v>5171</v>
      </c>
      <c r="J249" s="579" t="s">
        <v>4690</v>
      </c>
      <c r="K249" s="580" t="s">
        <v>5319</v>
      </c>
      <c r="L249" s="581" t="s">
        <v>4858</v>
      </c>
      <c r="M249" s="1346" t="s">
        <v>4688</v>
      </c>
      <c r="N249" s="581" t="s">
        <v>4888</v>
      </c>
      <c r="O249" s="721" t="s">
        <v>5320</v>
      </c>
      <c r="P249" s="150" t="s">
        <v>5321</v>
      </c>
      <c r="Q249" s="150"/>
      <c r="R249" s="98"/>
      <c r="S249" s="146"/>
      <c r="T249" s="279" t="s">
        <v>5322</v>
      </c>
      <c r="U249" s="279" t="s">
        <v>5323</v>
      </c>
      <c r="W249" s="25"/>
      <c r="X249" s="25"/>
      <c r="Z249" s="25"/>
      <c r="AA249" s="77"/>
      <c r="AB249" s="77"/>
      <c r="AC249" s="272"/>
      <c r="AD249" s="40"/>
      <c r="AE249" s="77"/>
      <c r="AF249" s="77"/>
      <c r="AG249" s="77"/>
      <c r="AH249" s="77"/>
      <c r="AI249" s="77"/>
      <c r="AJ249" s="77"/>
      <c r="AK249" s="77"/>
    </row>
    <row r="250" spans="2:37" ht="10.5" customHeight="1">
      <c r="B250" s="146"/>
      <c r="C250" s="211" t="s">
        <v>5324</v>
      </c>
      <c r="D250" s="247"/>
      <c r="E250" s="146"/>
      <c r="F250" s="294"/>
      <c r="G250" s="578" t="s">
        <v>5325</v>
      </c>
      <c r="H250" s="578" t="s">
        <v>4855</v>
      </c>
      <c r="I250" s="582" t="s">
        <v>4888</v>
      </c>
      <c r="J250" s="582" t="s">
        <v>4689</v>
      </c>
      <c r="K250" s="580" t="s">
        <v>4925</v>
      </c>
      <c r="L250" s="581" t="s">
        <v>4879</v>
      </c>
      <c r="M250" s="1346" t="s">
        <v>4688</v>
      </c>
      <c r="N250" s="581" t="s">
        <v>4888</v>
      </c>
      <c r="O250" s="721" t="s">
        <v>5326</v>
      </c>
      <c r="P250" s="150" t="s">
        <v>5327</v>
      </c>
      <c r="Q250" s="150"/>
      <c r="R250" s="98"/>
      <c r="S250" s="146"/>
      <c r="T250" s="279" t="s">
        <v>5328</v>
      </c>
      <c r="U250" s="279" t="s">
        <v>5120</v>
      </c>
      <c r="W250" s="25"/>
      <c r="X250" s="25"/>
      <c r="Z250" s="25"/>
      <c r="AA250" s="77"/>
      <c r="AB250" s="77"/>
      <c r="AC250" s="272"/>
      <c r="AD250" s="40"/>
      <c r="AE250" s="77"/>
      <c r="AF250" s="77"/>
      <c r="AG250" s="77"/>
      <c r="AH250" s="77"/>
      <c r="AI250" s="77"/>
      <c r="AJ250" s="77"/>
      <c r="AK250" s="77"/>
    </row>
    <row r="251" spans="2:37" ht="10.5" customHeight="1">
      <c r="B251" s="146"/>
      <c r="C251" s="211" t="s">
        <v>5329</v>
      </c>
      <c r="D251" s="247"/>
      <c r="E251" s="146"/>
      <c r="F251" s="294"/>
      <c r="G251" s="578" t="s">
        <v>4929</v>
      </c>
      <c r="H251" s="578" t="s">
        <v>4894</v>
      </c>
      <c r="I251" s="582" t="s">
        <v>5176</v>
      </c>
      <c r="J251" s="582" t="s">
        <v>4689</v>
      </c>
      <c r="K251" s="580" t="s">
        <v>5330</v>
      </c>
      <c r="L251" s="581" t="s">
        <v>4879</v>
      </c>
      <c r="M251" s="1346" t="s">
        <v>4688</v>
      </c>
      <c r="N251" s="581" t="s">
        <v>4903</v>
      </c>
      <c r="O251" s="721" t="s">
        <v>5331</v>
      </c>
      <c r="P251" s="150" t="s">
        <v>5332</v>
      </c>
      <c r="Q251" s="150"/>
      <c r="R251" s="98"/>
      <c r="S251" s="146"/>
      <c r="T251" s="279" t="s">
        <v>2072</v>
      </c>
      <c r="U251" s="279" t="s">
        <v>5333</v>
      </c>
      <c r="W251" s="25"/>
      <c r="X251" s="25"/>
      <c r="Z251" s="25"/>
      <c r="AA251" s="77"/>
      <c r="AB251" s="77"/>
      <c r="AC251" s="272"/>
      <c r="AD251" s="40"/>
      <c r="AE251" s="77"/>
      <c r="AF251" s="77"/>
      <c r="AG251" s="77"/>
      <c r="AH251" s="77"/>
      <c r="AI251" s="77"/>
      <c r="AJ251" s="77"/>
      <c r="AK251" s="77"/>
    </row>
    <row r="252" spans="2:37" ht="10.5" customHeight="1">
      <c r="B252" s="146"/>
      <c r="C252" s="212" t="s">
        <v>5334</v>
      </c>
      <c r="D252" s="247"/>
      <c r="E252" s="146"/>
      <c r="F252" s="294"/>
      <c r="G252" s="578" t="s">
        <v>5335</v>
      </c>
      <c r="H252" s="578" t="s">
        <v>4855</v>
      </c>
      <c r="I252" s="579" t="s">
        <v>2143</v>
      </c>
      <c r="J252" s="579" t="s">
        <v>4689</v>
      </c>
      <c r="K252" s="580" t="s">
        <v>4945</v>
      </c>
      <c r="L252" s="581" t="s">
        <v>4879</v>
      </c>
      <c r="M252" s="1346" t="s">
        <v>4688</v>
      </c>
      <c r="N252" s="581" t="s">
        <v>2143</v>
      </c>
      <c r="O252" s="721" t="s">
        <v>5336</v>
      </c>
      <c r="P252" s="150" t="s">
        <v>5337</v>
      </c>
      <c r="Q252" s="150"/>
      <c r="R252" s="98"/>
      <c r="S252" s="146"/>
      <c r="T252" s="279" t="s">
        <v>5338</v>
      </c>
      <c r="U252" s="279" t="s">
        <v>5339</v>
      </c>
      <c r="W252" s="25"/>
      <c r="X252" s="25"/>
      <c r="Z252" s="25"/>
      <c r="AA252" s="77"/>
      <c r="AB252" s="77"/>
      <c r="AC252" s="272"/>
      <c r="AD252" s="40"/>
      <c r="AE252" s="77"/>
      <c r="AF252" s="77"/>
      <c r="AG252" s="77"/>
      <c r="AH252" s="77"/>
      <c r="AI252" s="77"/>
      <c r="AJ252" s="77"/>
      <c r="AK252" s="77"/>
    </row>
    <row r="253" spans="2:37" ht="10.5" customHeight="1">
      <c r="B253" s="146"/>
      <c r="C253" s="212" t="s">
        <v>5340</v>
      </c>
      <c r="D253" s="247"/>
      <c r="E253" s="146"/>
      <c r="F253" s="294"/>
      <c r="G253" s="578" t="s">
        <v>5339</v>
      </c>
      <c r="H253" s="578" t="s">
        <v>4855</v>
      </c>
      <c r="I253" s="579" t="s">
        <v>5182</v>
      </c>
      <c r="J253" s="579" t="s">
        <v>4690</v>
      </c>
      <c r="K253" s="580" t="s">
        <v>5341</v>
      </c>
      <c r="L253" s="581" t="s">
        <v>4858</v>
      </c>
      <c r="M253" s="1346" t="s">
        <v>4688</v>
      </c>
      <c r="N253" s="581" t="s">
        <v>4888</v>
      </c>
      <c r="O253" s="721" t="s">
        <v>5342</v>
      </c>
      <c r="P253" s="150" t="s">
        <v>5343</v>
      </c>
      <c r="Q253" s="150"/>
      <c r="R253" s="98"/>
      <c r="S253" s="146"/>
      <c r="T253" s="279" t="s">
        <v>5344</v>
      </c>
      <c r="U253" s="279" t="s">
        <v>5223</v>
      </c>
      <c r="W253" s="25"/>
      <c r="X253" s="25"/>
      <c r="Z253" s="25"/>
      <c r="AA253" s="77"/>
      <c r="AB253" s="77"/>
      <c r="AC253" s="272"/>
      <c r="AD253" s="40"/>
      <c r="AE253" s="77"/>
      <c r="AF253" s="77"/>
      <c r="AG253" s="77"/>
      <c r="AH253" s="77"/>
      <c r="AI253" s="77"/>
      <c r="AJ253" s="77"/>
      <c r="AK253" s="77"/>
    </row>
    <row r="254" spans="2:37" ht="10.5" customHeight="1">
      <c r="B254" s="146"/>
      <c r="C254" s="212" t="s">
        <v>5345</v>
      </c>
      <c r="D254" s="247"/>
      <c r="E254" s="146"/>
      <c r="F254" s="294"/>
      <c r="G254" s="578" t="s">
        <v>5346</v>
      </c>
      <c r="H254" s="578" t="s">
        <v>4855</v>
      </c>
      <c r="I254" s="582" t="s">
        <v>2057</v>
      </c>
      <c r="J254" s="582" t="s">
        <v>4689</v>
      </c>
      <c r="K254" s="580" t="s">
        <v>5126</v>
      </c>
      <c r="L254" s="581" t="s">
        <v>4879</v>
      </c>
      <c r="M254" s="1346" t="s">
        <v>4688</v>
      </c>
      <c r="N254" s="581" t="s">
        <v>2057</v>
      </c>
      <c r="O254" s="721" t="s">
        <v>5347</v>
      </c>
      <c r="P254" s="150" t="s">
        <v>5348</v>
      </c>
      <c r="Q254" s="150"/>
      <c r="R254" s="98"/>
      <c r="S254" s="146"/>
      <c r="T254" s="279" t="s">
        <v>4975</v>
      </c>
      <c r="U254" s="279" t="s">
        <v>5217</v>
      </c>
      <c r="W254" s="25"/>
      <c r="X254" s="25"/>
      <c r="Z254" s="25"/>
      <c r="AA254" s="77"/>
      <c r="AB254" s="77"/>
      <c r="AC254" s="272"/>
      <c r="AD254" s="40"/>
      <c r="AE254" s="77"/>
      <c r="AF254" s="77"/>
      <c r="AG254" s="77"/>
      <c r="AH254" s="77"/>
      <c r="AI254" s="77"/>
      <c r="AJ254" s="77"/>
      <c r="AK254" s="77"/>
    </row>
    <row r="255" spans="2:37" ht="10.5" customHeight="1">
      <c r="B255" s="146"/>
      <c r="C255" s="212" t="s">
        <v>5349</v>
      </c>
      <c r="D255" s="247"/>
      <c r="E255" s="146"/>
      <c r="F255" s="294"/>
      <c r="G255" s="578" t="s">
        <v>112</v>
      </c>
      <c r="H255" s="578" t="s">
        <v>4855</v>
      </c>
      <c r="I255" s="579" t="s">
        <v>5350</v>
      </c>
      <c r="J255" s="579" t="s">
        <v>4689</v>
      </c>
      <c r="K255" s="580" t="s">
        <v>5351</v>
      </c>
      <c r="L255" s="581" t="s">
        <v>4879</v>
      </c>
      <c r="M255" s="1346" t="s">
        <v>4685</v>
      </c>
      <c r="N255" s="581" t="s">
        <v>4859</v>
      </c>
      <c r="O255" s="721" t="s">
        <v>5352</v>
      </c>
      <c r="P255" s="150" t="s">
        <v>5353</v>
      </c>
      <c r="Q255" s="150"/>
      <c r="R255" s="98"/>
      <c r="S255" s="146"/>
      <c r="T255" s="279" t="s">
        <v>5354</v>
      </c>
      <c r="U255" s="279" t="s">
        <v>5223</v>
      </c>
      <c r="W255" s="25"/>
      <c r="X255" s="25"/>
      <c r="Z255" s="25"/>
      <c r="AA255" s="77"/>
      <c r="AB255" s="77"/>
      <c r="AC255" s="272"/>
      <c r="AD255" s="40"/>
      <c r="AE255" s="77"/>
      <c r="AF255" s="77"/>
      <c r="AG255" s="77"/>
      <c r="AH255" s="77"/>
      <c r="AI255" s="77"/>
      <c r="AJ255" s="77"/>
      <c r="AK255" s="77"/>
    </row>
    <row r="256" spans="2:37" ht="10.5" customHeight="1">
      <c r="B256" s="146"/>
      <c r="C256" s="212" t="s">
        <v>5355</v>
      </c>
      <c r="D256" s="247"/>
      <c r="E256" s="146"/>
      <c r="F256" s="294"/>
      <c r="G256" s="578" t="s">
        <v>5356</v>
      </c>
      <c r="H256" s="578" t="s">
        <v>4894</v>
      </c>
      <c r="I256" s="579" t="s">
        <v>5187</v>
      </c>
      <c r="J256" s="579" t="s">
        <v>4689</v>
      </c>
      <c r="K256" s="580" t="s">
        <v>5357</v>
      </c>
      <c r="L256" s="581" t="s">
        <v>4879</v>
      </c>
      <c r="M256" s="1346" t="s">
        <v>4688</v>
      </c>
      <c r="N256" s="581" t="s">
        <v>4963</v>
      </c>
      <c r="O256" s="721" t="s">
        <v>5358</v>
      </c>
      <c r="P256" s="150" t="s">
        <v>5359</v>
      </c>
      <c r="Q256" s="150"/>
      <c r="R256" s="98"/>
      <c r="S256" s="146"/>
      <c r="T256" s="279" t="s">
        <v>5360</v>
      </c>
      <c r="U256" s="279" t="s">
        <v>5361</v>
      </c>
      <c r="W256" s="25"/>
      <c r="X256" s="25"/>
      <c r="Z256" s="25"/>
      <c r="AA256" s="77"/>
      <c r="AB256" s="77"/>
      <c r="AC256" s="272"/>
      <c r="AD256" s="40"/>
      <c r="AE256" s="77"/>
      <c r="AF256" s="77"/>
      <c r="AG256" s="77"/>
      <c r="AH256" s="77"/>
      <c r="AI256" s="77"/>
      <c r="AJ256" s="77"/>
      <c r="AK256" s="77"/>
    </row>
    <row r="257" spans="2:37" ht="10.5" customHeight="1">
      <c r="B257" s="146"/>
      <c r="C257" s="212" t="s">
        <v>5362</v>
      </c>
      <c r="D257" s="247"/>
      <c r="E257" s="146"/>
      <c r="F257" s="294"/>
      <c r="G257" s="578" t="s">
        <v>5363</v>
      </c>
      <c r="H257" s="578" t="s">
        <v>4855</v>
      </c>
      <c r="I257" s="579" t="s">
        <v>5192</v>
      </c>
      <c r="J257" s="579" t="s">
        <v>4689</v>
      </c>
      <c r="K257" s="580" t="s">
        <v>5364</v>
      </c>
      <c r="L257" s="581" t="s">
        <v>4879</v>
      </c>
      <c r="M257" s="1346" t="s">
        <v>4688</v>
      </c>
      <c r="N257" s="581" t="s">
        <v>4859</v>
      </c>
      <c r="O257" s="721" t="s">
        <v>5365</v>
      </c>
      <c r="P257" s="150" t="s">
        <v>5366</v>
      </c>
      <c r="Q257" s="150"/>
      <c r="R257" s="98"/>
      <c r="S257" s="146"/>
      <c r="T257" s="279" t="s">
        <v>5367</v>
      </c>
      <c r="U257" s="279" t="s">
        <v>5083</v>
      </c>
      <c r="W257" s="25"/>
      <c r="X257" s="25"/>
      <c r="Z257" s="25"/>
      <c r="AA257" s="77"/>
      <c r="AB257" s="77"/>
      <c r="AC257" s="272"/>
      <c r="AD257" s="40"/>
      <c r="AE257" s="77"/>
      <c r="AF257" s="77"/>
      <c r="AG257" s="77"/>
      <c r="AH257" s="77"/>
      <c r="AI257" s="77"/>
      <c r="AJ257" s="77"/>
      <c r="AK257" s="77"/>
    </row>
    <row r="258" spans="2:37" ht="10.5" customHeight="1">
      <c r="B258" s="146"/>
      <c r="C258" s="212" t="s">
        <v>5368</v>
      </c>
      <c r="D258" s="247"/>
      <c r="E258" s="146"/>
      <c r="F258" s="294"/>
      <c r="G258" s="578" t="s">
        <v>140</v>
      </c>
      <c r="H258" s="578" t="s">
        <v>4855</v>
      </c>
      <c r="I258" s="579" t="s">
        <v>2143</v>
      </c>
      <c r="J258" s="579" t="s">
        <v>4689</v>
      </c>
      <c r="K258" s="580" t="s">
        <v>4945</v>
      </c>
      <c r="L258" s="581" t="s">
        <v>4879</v>
      </c>
      <c r="M258" s="1346" t="s">
        <v>4685</v>
      </c>
      <c r="N258" s="581" t="s">
        <v>2143</v>
      </c>
      <c r="O258" s="721" t="s">
        <v>5369</v>
      </c>
      <c r="P258" s="150" t="s">
        <v>5370</v>
      </c>
      <c r="Q258" s="150"/>
      <c r="R258" s="98"/>
      <c r="S258" s="146"/>
      <c r="T258" s="279" t="s">
        <v>90</v>
      </c>
      <c r="U258" s="279" t="s">
        <v>84</v>
      </c>
      <c r="W258" s="25"/>
      <c r="X258" s="25"/>
      <c r="Z258" s="25"/>
      <c r="AA258" s="77"/>
      <c r="AB258" s="77"/>
      <c r="AC258" s="272"/>
      <c r="AD258" s="40"/>
      <c r="AE258" s="77"/>
      <c r="AF258" s="77"/>
      <c r="AG258" s="77"/>
      <c r="AH258" s="77"/>
      <c r="AI258" s="77"/>
      <c r="AJ258" s="77"/>
      <c r="AK258" s="77"/>
    </row>
    <row r="259" spans="2:37" ht="10.5" customHeight="1">
      <c r="B259" s="146"/>
      <c r="C259" s="211" t="s">
        <v>5371</v>
      </c>
      <c r="D259" s="247"/>
      <c r="E259" s="146"/>
      <c r="F259" s="294"/>
      <c r="G259" s="578" t="s">
        <v>5372</v>
      </c>
      <c r="H259" s="578" t="s">
        <v>4894</v>
      </c>
      <c r="I259" s="582" t="s">
        <v>5198</v>
      </c>
      <c r="J259" s="582" t="s">
        <v>4690</v>
      </c>
      <c r="K259" s="580" t="s">
        <v>5373</v>
      </c>
      <c r="L259" s="581" t="s">
        <v>4858</v>
      </c>
      <c r="M259" s="1346" t="s">
        <v>4688</v>
      </c>
      <c r="N259" s="581" t="s">
        <v>4903</v>
      </c>
      <c r="O259" s="721" t="s">
        <v>5374</v>
      </c>
      <c r="P259" s="150" t="s">
        <v>5375</v>
      </c>
      <c r="Q259" s="150"/>
      <c r="R259" s="98"/>
      <c r="S259" s="146"/>
      <c r="T259" s="279" t="s">
        <v>5376</v>
      </c>
      <c r="U259" s="279" t="s">
        <v>5193</v>
      </c>
      <c r="W259" s="25"/>
      <c r="X259" s="25"/>
      <c r="Z259" s="25"/>
      <c r="AA259" s="77"/>
      <c r="AB259" s="77"/>
      <c r="AC259" s="272"/>
      <c r="AD259" s="40"/>
      <c r="AE259" s="77"/>
      <c r="AF259" s="77"/>
      <c r="AG259" s="77"/>
      <c r="AH259" s="77"/>
      <c r="AI259" s="77"/>
      <c r="AJ259" s="77"/>
      <c r="AK259" s="77"/>
    </row>
    <row r="260" spans="2:37" ht="10.5" customHeight="1">
      <c r="B260" s="146"/>
      <c r="C260" s="211" t="s">
        <v>5377</v>
      </c>
      <c r="D260" s="247"/>
      <c r="E260" s="146"/>
      <c r="F260" s="294"/>
      <c r="G260" s="578" t="s">
        <v>4888</v>
      </c>
      <c r="H260" s="578" t="s">
        <v>4855</v>
      </c>
      <c r="I260" s="579" t="s">
        <v>5207</v>
      </c>
      <c r="J260" s="579" t="s">
        <v>4690</v>
      </c>
      <c r="K260" s="580" t="s">
        <v>5378</v>
      </c>
      <c r="L260" s="581" t="s">
        <v>4858</v>
      </c>
      <c r="M260" s="1346" t="s">
        <v>4688</v>
      </c>
      <c r="N260" s="581" t="s">
        <v>4888</v>
      </c>
      <c r="O260" s="721" t="s">
        <v>5379</v>
      </c>
      <c r="P260" s="150" t="s">
        <v>5380</v>
      </c>
      <c r="Q260" s="150"/>
      <c r="R260" s="98"/>
      <c r="S260" s="146"/>
      <c r="T260" s="279" t="s">
        <v>5381</v>
      </c>
      <c r="U260" s="279" t="s">
        <v>5159</v>
      </c>
      <c r="W260" s="25"/>
      <c r="X260" s="25"/>
      <c r="Z260" s="25"/>
      <c r="AA260" s="77"/>
      <c r="AB260" s="77"/>
      <c r="AC260" s="272"/>
      <c r="AD260" s="40"/>
      <c r="AE260" s="77"/>
      <c r="AF260" s="77"/>
      <c r="AG260" s="77"/>
      <c r="AH260" s="77"/>
      <c r="AI260" s="77"/>
      <c r="AJ260" s="77"/>
      <c r="AK260" s="77"/>
    </row>
    <row r="261" spans="2:37" ht="10.5" customHeight="1">
      <c r="B261" s="146"/>
      <c r="C261" s="211" t="s">
        <v>5382</v>
      </c>
      <c r="D261" s="247"/>
      <c r="E261" s="146"/>
      <c r="F261" s="294"/>
      <c r="G261" s="578" t="s">
        <v>2114</v>
      </c>
      <c r="H261" s="578" t="s">
        <v>4894</v>
      </c>
      <c r="I261" s="579" t="s">
        <v>5034</v>
      </c>
      <c r="J261" s="579" t="s">
        <v>4689</v>
      </c>
      <c r="K261" s="580" t="s">
        <v>5035</v>
      </c>
      <c r="L261" s="581" t="s">
        <v>4879</v>
      </c>
      <c r="M261" s="1346" t="s">
        <v>4688</v>
      </c>
      <c r="N261" s="581" t="s">
        <v>4897</v>
      </c>
      <c r="O261" s="721" t="s">
        <v>5383</v>
      </c>
      <c r="P261" s="150" t="s">
        <v>5384</v>
      </c>
      <c r="Q261" s="150"/>
      <c r="R261" s="98"/>
      <c r="S261" s="146"/>
      <c r="T261" s="279" t="s">
        <v>5385</v>
      </c>
      <c r="U261" s="279" t="s">
        <v>5028</v>
      </c>
      <c r="W261" s="25"/>
      <c r="X261" s="25"/>
      <c r="Z261" s="25"/>
      <c r="AA261" s="77"/>
      <c r="AB261" s="77"/>
      <c r="AC261" s="272"/>
      <c r="AD261" s="40"/>
      <c r="AE261" s="77"/>
      <c r="AF261" s="77"/>
      <c r="AG261" s="77"/>
      <c r="AH261" s="77"/>
      <c r="AI261" s="77"/>
      <c r="AJ261" s="77"/>
      <c r="AK261" s="77"/>
    </row>
    <row r="262" spans="2:37" ht="10.5" customHeight="1">
      <c r="B262" s="146"/>
      <c r="C262" s="211" t="s">
        <v>5386</v>
      </c>
      <c r="D262" s="247"/>
      <c r="E262" s="146"/>
      <c r="F262" s="294"/>
      <c r="G262" s="578" t="s">
        <v>5311</v>
      </c>
      <c r="H262" s="578" t="s">
        <v>4855</v>
      </c>
      <c r="I262" s="582" t="s">
        <v>5015</v>
      </c>
      <c r="J262" s="582" t="s">
        <v>4689</v>
      </c>
      <c r="K262" s="580" t="s">
        <v>5017</v>
      </c>
      <c r="L262" s="581" t="s">
        <v>4879</v>
      </c>
      <c r="M262" s="1346" t="s">
        <v>4688</v>
      </c>
      <c r="N262" s="581" t="s">
        <v>5015</v>
      </c>
      <c r="O262" s="721" t="s">
        <v>5387</v>
      </c>
      <c r="P262" s="150" t="s">
        <v>5388</v>
      </c>
      <c r="Q262" s="150"/>
      <c r="R262" s="98"/>
      <c r="S262" s="146"/>
      <c r="T262" s="279" t="s">
        <v>5389</v>
      </c>
      <c r="U262" s="279" t="s">
        <v>159</v>
      </c>
      <c r="W262" s="25"/>
      <c r="X262" s="25"/>
      <c r="Z262" s="25"/>
      <c r="AA262" s="77"/>
      <c r="AB262" s="77"/>
      <c r="AC262" s="272"/>
      <c r="AD262" s="40"/>
      <c r="AE262" s="77"/>
      <c r="AF262" s="77"/>
      <c r="AG262" s="77"/>
      <c r="AH262" s="77"/>
      <c r="AI262" s="77"/>
      <c r="AJ262" s="77"/>
      <c r="AK262" s="77"/>
    </row>
    <row r="263" spans="2:37" ht="10.5" customHeight="1">
      <c r="B263" s="146"/>
      <c r="C263" s="211" t="s">
        <v>5390</v>
      </c>
      <c r="D263" s="247"/>
      <c r="E263" s="146"/>
      <c r="F263" s="294"/>
      <c r="G263" s="578" t="s">
        <v>5391</v>
      </c>
      <c r="H263" s="578" t="s">
        <v>4894</v>
      </c>
      <c r="I263" s="582" t="s">
        <v>4892</v>
      </c>
      <c r="J263" s="582" t="s">
        <v>4689</v>
      </c>
      <c r="K263" s="580" t="s">
        <v>4962</v>
      </c>
      <c r="L263" s="581" t="s">
        <v>4879</v>
      </c>
      <c r="M263" s="1346" t="s">
        <v>4688</v>
      </c>
      <c r="N263" s="581" t="s">
        <v>4963</v>
      </c>
      <c r="O263" s="721" t="s">
        <v>5392</v>
      </c>
      <c r="P263" s="150" t="s">
        <v>5393</v>
      </c>
      <c r="Q263" s="150"/>
      <c r="R263" s="98"/>
      <c r="S263" s="146"/>
      <c r="T263" s="279" t="s">
        <v>5394</v>
      </c>
      <c r="U263" s="279" t="s">
        <v>2114</v>
      </c>
      <c r="W263" s="25"/>
      <c r="X263" s="25"/>
      <c r="Z263" s="25"/>
      <c r="AA263" s="77"/>
      <c r="AB263" s="77"/>
      <c r="AC263" s="272"/>
      <c r="AD263" s="40"/>
      <c r="AE263" s="77"/>
      <c r="AF263" s="77"/>
      <c r="AG263" s="77"/>
      <c r="AH263" s="77"/>
      <c r="AI263" s="77"/>
      <c r="AJ263" s="77"/>
      <c r="AK263" s="77"/>
    </row>
    <row r="264" spans="2:37" ht="10.5" customHeight="1">
      <c r="B264" s="146"/>
      <c r="C264" s="212" t="s">
        <v>5395</v>
      </c>
      <c r="D264" s="247"/>
      <c r="E264" s="146"/>
      <c r="F264" s="294"/>
      <c r="G264" s="578" t="s">
        <v>5396</v>
      </c>
      <c r="H264" s="578" t="s">
        <v>4855</v>
      </c>
      <c r="I264" s="579" t="s">
        <v>4936</v>
      </c>
      <c r="J264" s="579" t="s">
        <v>4689</v>
      </c>
      <c r="K264" s="580" t="s">
        <v>4938</v>
      </c>
      <c r="L264" s="581" t="s">
        <v>4879</v>
      </c>
      <c r="M264" s="1346" t="s">
        <v>4688</v>
      </c>
      <c r="N264" s="581" t="s">
        <v>4859</v>
      </c>
      <c r="O264" s="721" t="s">
        <v>5397</v>
      </c>
      <c r="P264" s="150" t="s">
        <v>5398</v>
      </c>
      <c r="Q264" s="150"/>
      <c r="R264" s="98"/>
      <c r="S264" s="146"/>
      <c r="T264" s="279" t="s">
        <v>5399</v>
      </c>
      <c r="U264" s="279" t="s">
        <v>5193</v>
      </c>
      <c r="W264" s="25"/>
      <c r="X264" s="25"/>
      <c r="Z264" s="25"/>
      <c r="AA264" s="77"/>
      <c r="AB264" s="77"/>
      <c r="AC264" s="272"/>
      <c r="AD264" s="40"/>
      <c r="AE264" s="77"/>
      <c r="AF264" s="77"/>
      <c r="AG264" s="77"/>
      <c r="AH264" s="77"/>
      <c r="AI264" s="77"/>
      <c r="AJ264" s="77"/>
      <c r="AK264" s="77"/>
    </row>
    <row r="265" spans="2:37" ht="10.5" customHeight="1">
      <c r="B265" s="146"/>
      <c r="C265" s="211" t="s">
        <v>5400</v>
      </c>
      <c r="D265" s="247"/>
      <c r="E265" s="146"/>
      <c r="F265" s="294"/>
      <c r="G265" s="578" t="s">
        <v>5401</v>
      </c>
      <c r="H265" s="578" t="s">
        <v>4855</v>
      </c>
      <c r="I265" s="582" t="s">
        <v>5213</v>
      </c>
      <c r="J265" s="582" t="s">
        <v>4689</v>
      </c>
      <c r="K265" s="580" t="s">
        <v>5402</v>
      </c>
      <c r="L265" s="581" t="s">
        <v>4879</v>
      </c>
      <c r="M265" s="1346" t="s">
        <v>4688</v>
      </c>
      <c r="N265" s="581" t="s">
        <v>4903</v>
      </c>
      <c r="O265" s="721" t="s">
        <v>5403</v>
      </c>
      <c r="P265" s="150" t="s">
        <v>5404</v>
      </c>
      <c r="Q265" s="150"/>
      <c r="R265" s="98"/>
      <c r="S265" s="146"/>
      <c r="T265" s="279" t="s">
        <v>5405</v>
      </c>
      <c r="U265" s="279" t="s">
        <v>4992</v>
      </c>
      <c r="W265" s="25"/>
      <c r="X265" s="25"/>
      <c r="Z265" s="25"/>
      <c r="AA265" s="77"/>
      <c r="AB265" s="77"/>
      <c r="AC265" s="272"/>
      <c r="AD265" s="40"/>
      <c r="AE265" s="77"/>
      <c r="AF265" s="77"/>
      <c r="AG265" s="77"/>
      <c r="AH265" s="77"/>
      <c r="AI265" s="77"/>
      <c r="AJ265" s="77"/>
      <c r="AK265" s="77"/>
    </row>
    <row r="266" spans="2:37" ht="10.5" customHeight="1">
      <c r="B266" s="146"/>
      <c r="C266" s="211" t="s">
        <v>2143</v>
      </c>
      <c r="D266" s="247"/>
      <c r="E266" s="146"/>
      <c r="F266" s="294"/>
      <c r="G266" s="578" t="s">
        <v>5406</v>
      </c>
      <c r="H266" s="578" t="s">
        <v>4855</v>
      </c>
      <c r="I266" s="579" t="s">
        <v>5216</v>
      </c>
      <c r="J266" s="579" t="s">
        <v>4690</v>
      </c>
      <c r="K266" s="580" t="s">
        <v>5407</v>
      </c>
      <c r="L266" s="581" t="s">
        <v>4858</v>
      </c>
      <c r="M266" s="1346" t="s">
        <v>4688</v>
      </c>
      <c r="N266" s="581" t="s">
        <v>2057</v>
      </c>
      <c r="O266" s="721" t="s">
        <v>5408</v>
      </c>
      <c r="P266" s="150" t="s">
        <v>5409</v>
      </c>
      <c r="Q266" s="150"/>
      <c r="R266" s="98"/>
      <c r="S266" s="146"/>
      <c r="T266" s="279" t="s">
        <v>5410</v>
      </c>
      <c r="U266" s="279" t="s">
        <v>4883</v>
      </c>
      <c r="W266" s="25"/>
      <c r="X266" s="25"/>
      <c r="Z266" s="25"/>
      <c r="AA266" s="77"/>
      <c r="AB266" s="77"/>
      <c r="AC266" s="272"/>
      <c r="AD266" s="40"/>
      <c r="AE266" s="77"/>
      <c r="AF266" s="77"/>
      <c r="AG266" s="77"/>
      <c r="AH266" s="77"/>
      <c r="AI266" s="77"/>
      <c r="AJ266" s="77"/>
      <c r="AK266" s="77"/>
    </row>
    <row r="267" spans="2:37" ht="10.5" customHeight="1">
      <c r="B267" s="146"/>
      <c r="C267" s="212" t="s">
        <v>5411</v>
      </c>
      <c r="D267" s="247"/>
      <c r="E267" s="146"/>
      <c r="F267" s="294"/>
      <c r="G267" s="578" t="s">
        <v>5083</v>
      </c>
      <c r="H267" s="578" t="s">
        <v>4855</v>
      </c>
      <c r="I267" s="579" t="s">
        <v>5222</v>
      </c>
      <c r="J267" s="579" t="s">
        <v>4690</v>
      </c>
      <c r="K267" s="580" t="s">
        <v>5412</v>
      </c>
      <c r="L267" s="581" t="s">
        <v>4858</v>
      </c>
      <c r="M267" s="1346" t="s">
        <v>4688</v>
      </c>
      <c r="N267" s="581" t="s">
        <v>2057</v>
      </c>
      <c r="O267" s="721" t="s">
        <v>5413</v>
      </c>
      <c r="P267" s="150" t="s">
        <v>5414</v>
      </c>
      <c r="Q267" s="150"/>
      <c r="R267" s="98"/>
      <c r="S267" s="146"/>
      <c r="T267" s="279" t="s">
        <v>5415</v>
      </c>
      <c r="U267" s="279" t="s">
        <v>164</v>
      </c>
      <c r="W267" s="25"/>
      <c r="X267" s="25"/>
      <c r="Z267" s="25"/>
      <c r="AA267" s="77"/>
      <c r="AB267" s="77"/>
      <c r="AC267" s="272"/>
      <c r="AD267" s="40"/>
      <c r="AE267" s="77"/>
      <c r="AF267" s="77"/>
      <c r="AG267" s="77"/>
      <c r="AH267" s="77"/>
      <c r="AI267" s="77"/>
      <c r="AJ267" s="77"/>
      <c r="AK267" s="77"/>
    </row>
    <row r="268" spans="2:37" ht="10.5" customHeight="1">
      <c r="B268" s="146"/>
      <c r="C268" s="211" t="s">
        <v>2145</v>
      </c>
      <c r="D268" s="247"/>
      <c r="E268" s="146"/>
      <c r="F268" s="294"/>
      <c r="G268" s="578" t="s">
        <v>5416</v>
      </c>
      <c r="H268" s="578" t="s">
        <v>4894</v>
      </c>
      <c r="I268" s="582" t="s">
        <v>5229</v>
      </c>
      <c r="J268" s="582" t="s">
        <v>4689</v>
      </c>
      <c r="K268" s="580" t="s">
        <v>5417</v>
      </c>
      <c r="L268" s="581" t="s">
        <v>4879</v>
      </c>
      <c r="M268" s="1346" t="s">
        <v>4688</v>
      </c>
      <c r="N268" s="581" t="s">
        <v>4903</v>
      </c>
      <c r="O268" s="721" t="s">
        <v>5418</v>
      </c>
      <c r="P268" s="150" t="s">
        <v>5419</v>
      </c>
      <c r="Q268" s="150"/>
      <c r="R268" s="98"/>
      <c r="S268" s="146"/>
      <c r="T268" s="279" t="s">
        <v>5420</v>
      </c>
      <c r="U268" s="279" t="s">
        <v>4891</v>
      </c>
      <c r="W268" s="25"/>
      <c r="X268" s="25"/>
      <c r="Z268" s="25"/>
      <c r="AA268" s="77"/>
      <c r="AB268" s="77"/>
      <c r="AC268" s="272"/>
      <c r="AD268" s="40"/>
      <c r="AE268" s="77"/>
      <c r="AF268" s="77"/>
      <c r="AG268" s="77"/>
      <c r="AH268" s="77"/>
      <c r="AI268" s="77"/>
      <c r="AJ268" s="77"/>
      <c r="AK268" s="77"/>
    </row>
    <row r="269" spans="2:37" ht="10.5" customHeight="1">
      <c r="B269" s="146"/>
      <c r="C269" s="211" t="s">
        <v>5421</v>
      </c>
      <c r="D269" s="247"/>
      <c r="F269" s="294"/>
      <c r="G269" s="578" t="s">
        <v>138</v>
      </c>
      <c r="H269" s="578" t="s">
        <v>4855</v>
      </c>
      <c r="I269" s="579" t="s">
        <v>5235</v>
      </c>
      <c r="J269" s="579" t="s">
        <v>4690</v>
      </c>
      <c r="K269" s="580" t="s">
        <v>5422</v>
      </c>
      <c r="L269" s="581" t="s">
        <v>4858</v>
      </c>
      <c r="M269" s="1346" t="s">
        <v>4688</v>
      </c>
      <c r="N269" s="581" t="s">
        <v>4859</v>
      </c>
      <c r="O269" s="721" t="s">
        <v>5423</v>
      </c>
      <c r="P269" s="150" t="s">
        <v>5424</v>
      </c>
      <c r="Q269" s="150"/>
      <c r="R269" s="98"/>
      <c r="S269" s="146"/>
      <c r="T269" s="146" t="s">
        <v>5425</v>
      </c>
      <c r="U269" s="146" t="s">
        <v>5135</v>
      </c>
      <c r="W269" s="25"/>
      <c r="X269" s="25"/>
      <c r="Z269" s="25"/>
      <c r="AA269" s="77"/>
      <c r="AB269" s="77"/>
      <c r="AC269" s="272"/>
      <c r="AD269" s="40"/>
      <c r="AE269" s="77"/>
      <c r="AF269" s="77"/>
      <c r="AG269" s="77"/>
      <c r="AH269" s="77"/>
      <c r="AI269" s="77"/>
      <c r="AJ269" s="77"/>
      <c r="AK269" s="77"/>
    </row>
    <row r="270" spans="2:37" ht="10.5" customHeight="1">
      <c r="B270" s="146"/>
      <c r="C270" s="211" t="s">
        <v>5426</v>
      </c>
      <c r="D270" s="247"/>
      <c r="F270" s="294"/>
      <c r="G270" s="578" t="s">
        <v>5228</v>
      </c>
      <c r="H270" s="578" t="s">
        <v>4894</v>
      </c>
      <c r="I270" s="582" t="s">
        <v>5239</v>
      </c>
      <c r="J270" s="579" t="s">
        <v>4689</v>
      </c>
      <c r="K270" s="580" t="s">
        <v>5427</v>
      </c>
      <c r="L270" s="581" t="s">
        <v>4879</v>
      </c>
      <c r="M270" s="1346" t="s">
        <v>4688</v>
      </c>
      <c r="N270" s="581" t="s">
        <v>4903</v>
      </c>
      <c r="O270" s="721" t="s">
        <v>5428</v>
      </c>
      <c r="P270" s="150" t="s">
        <v>5429</v>
      </c>
      <c r="Q270" s="150"/>
      <c r="R270" s="98"/>
      <c r="S270" s="146"/>
      <c r="T270" s="279" t="s">
        <v>2076</v>
      </c>
      <c r="U270" s="279" t="s">
        <v>5002</v>
      </c>
      <c r="W270" s="25"/>
      <c r="X270" s="25"/>
      <c r="Z270" s="25"/>
      <c r="AA270" s="77"/>
      <c r="AB270" s="77"/>
      <c r="AC270" s="40"/>
      <c r="AD270" s="40"/>
      <c r="AE270" s="77"/>
      <c r="AF270" s="77"/>
      <c r="AG270" s="77"/>
      <c r="AH270" s="77"/>
      <c r="AI270" s="77"/>
      <c r="AJ270" s="77"/>
      <c r="AK270" s="77"/>
    </row>
    <row r="271" spans="2:37" ht="10.5" customHeight="1">
      <c r="B271" s="146"/>
      <c r="C271" s="211" t="s">
        <v>5430</v>
      </c>
      <c r="D271" s="247"/>
      <c r="F271" s="294"/>
      <c r="G271" s="578" t="s">
        <v>5431</v>
      </c>
      <c r="H271" s="578" t="s">
        <v>4894</v>
      </c>
      <c r="I271" s="579" t="s">
        <v>5244</v>
      </c>
      <c r="J271" s="579" t="s">
        <v>4689</v>
      </c>
      <c r="K271" s="580" t="s">
        <v>5432</v>
      </c>
      <c r="L271" s="581" t="s">
        <v>4879</v>
      </c>
      <c r="M271" s="1346" t="s">
        <v>4688</v>
      </c>
      <c r="N271" s="581" t="s">
        <v>4903</v>
      </c>
      <c r="O271" s="721" t="s">
        <v>5433</v>
      </c>
      <c r="P271" s="150" t="s">
        <v>5434</v>
      </c>
      <c r="Q271" s="150"/>
      <c r="R271" s="98"/>
      <c r="S271" s="146"/>
      <c r="T271" s="279" t="s">
        <v>2079</v>
      </c>
      <c r="U271" s="279" t="s">
        <v>157</v>
      </c>
      <c r="W271" s="25"/>
      <c r="X271" s="25"/>
      <c r="Z271" s="25"/>
      <c r="AA271" s="77"/>
      <c r="AB271" s="77"/>
      <c r="AC271" s="272"/>
      <c r="AD271" s="40"/>
      <c r="AE271" s="77"/>
      <c r="AF271" s="77"/>
      <c r="AG271" s="77"/>
      <c r="AH271" s="77"/>
      <c r="AI271" s="77"/>
      <c r="AJ271" s="77"/>
      <c r="AK271" s="77"/>
    </row>
    <row r="272" spans="2:37" ht="10.5" customHeight="1">
      <c r="B272" s="146"/>
      <c r="C272" s="211" t="s">
        <v>5435</v>
      </c>
      <c r="D272" s="247"/>
      <c r="F272" s="294"/>
      <c r="G272" s="578" t="s">
        <v>5157</v>
      </c>
      <c r="H272" s="578" t="s">
        <v>4924</v>
      </c>
      <c r="I272" s="582" t="s">
        <v>5015</v>
      </c>
      <c r="J272" s="582" t="s">
        <v>4689</v>
      </c>
      <c r="K272" s="580" t="s">
        <v>5017</v>
      </c>
      <c r="L272" s="581" t="s">
        <v>4879</v>
      </c>
      <c r="M272" s="1346" t="s">
        <v>4685</v>
      </c>
      <c r="N272" s="581" t="s">
        <v>5015</v>
      </c>
      <c r="O272" s="721" t="s">
        <v>5436</v>
      </c>
      <c r="P272" s="150" t="s">
        <v>5437</v>
      </c>
      <c r="Q272" s="150"/>
      <c r="R272" s="98"/>
      <c r="S272" s="146"/>
      <c r="T272" s="279" t="s">
        <v>5438</v>
      </c>
      <c r="U272" s="279" t="s">
        <v>5275</v>
      </c>
      <c r="W272" s="25"/>
      <c r="X272" s="25"/>
      <c r="Z272" s="25"/>
      <c r="AA272" s="77"/>
      <c r="AB272" s="77"/>
      <c r="AC272" s="272"/>
      <c r="AD272" s="40"/>
      <c r="AE272" s="77"/>
      <c r="AF272" s="77"/>
      <c r="AG272" s="77"/>
      <c r="AH272" s="77"/>
      <c r="AI272" s="77"/>
      <c r="AJ272" s="77"/>
      <c r="AK272" s="77"/>
    </row>
    <row r="273" spans="2:37" ht="10.5" customHeight="1">
      <c r="B273" s="146"/>
      <c r="C273" s="211" t="s">
        <v>5439</v>
      </c>
      <c r="D273" s="247"/>
      <c r="F273" s="294"/>
      <c r="G273" s="578" t="s">
        <v>5440</v>
      </c>
      <c r="H273" s="578" t="s">
        <v>4894</v>
      </c>
      <c r="I273" s="582" t="s">
        <v>4884</v>
      </c>
      <c r="J273" s="582" t="s">
        <v>4689</v>
      </c>
      <c r="K273" s="580" t="s">
        <v>4902</v>
      </c>
      <c r="L273" s="581" t="s">
        <v>4879</v>
      </c>
      <c r="M273" s="1346" t="s">
        <v>4685</v>
      </c>
      <c r="N273" s="581" t="s">
        <v>4903</v>
      </c>
      <c r="O273" s="721" t="s">
        <v>5441</v>
      </c>
      <c r="P273" s="150" t="s">
        <v>5442</v>
      </c>
      <c r="Q273" s="150"/>
      <c r="R273" s="98"/>
      <c r="S273" s="146"/>
      <c r="T273" s="279" t="s">
        <v>5443</v>
      </c>
      <c r="U273" s="279" t="s">
        <v>84</v>
      </c>
      <c r="W273" s="25"/>
      <c r="X273" s="25"/>
      <c r="Z273" s="25"/>
      <c r="AA273" s="77"/>
      <c r="AB273" s="77"/>
      <c r="AC273" s="272"/>
      <c r="AD273" s="40"/>
      <c r="AE273" s="77"/>
      <c r="AF273" s="77"/>
      <c r="AG273" s="77"/>
      <c r="AH273" s="77"/>
      <c r="AI273" s="77"/>
      <c r="AJ273" s="77"/>
      <c r="AK273" s="77"/>
    </row>
    <row r="274" spans="2:37" ht="10.5" customHeight="1">
      <c r="B274" s="146"/>
      <c r="C274" s="211" t="s">
        <v>5444</v>
      </c>
      <c r="D274" s="247"/>
      <c r="F274" s="294"/>
      <c r="G274" s="578" t="s">
        <v>5164</v>
      </c>
      <c r="H274" s="578" t="s">
        <v>4894</v>
      </c>
      <c r="I274" s="579" t="s">
        <v>5034</v>
      </c>
      <c r="J274" s="579" t="s">
        <v>4689</v>
      </c>
      <c r="K274" s="580" t="s">
        <v>5035</v>
      </c>
      <c r="L274" s="581" t="s">
        <v>4879</v>
      </c>
      <c r="M274" s="1346" t="s">
        <v>4688</v>
      </c>
      <c r="N274" s="581" t="s">
        <v>4897</v>
      </c>
      <c r="O274" s="721" t="s">
        <v>5445</v>
      </c>
      <c r="P274" s="150" t="s">
        <v>5446</v>
      </c>
      <c r="Q274" s="150"/>
      <c r="R274" s="98"/>
      <c r="S274" s="146"/>
      <c r="T274" s="279" t="s">
        <v>5447</v>
      </c>
      <c r="U274" s="279" t="s">
        <v>5431</v>
      </c>
      <c r="W274" s="25"/>
      <c r="X274" s="25"/>
      <c r="Z274" s="25"/>
      <c r="AA274" s="77"/>
      <c r="AB274" s="77"/>
      <c r="AC274" s="272"/>
      <c r="AD274" s="40"/>
      <c r="AE274" s="77"/>
      <c r="AF274" s="77"/>
      <c r="AG274" s="77"/>
      <c r="AH274" s="77"/>
      <c r="AI274" s="77"/>
      <c r="AJ274" s="77"/>
      <c r="AK274" s="77"/>
    </row>
    <row r="275" spans="2:37" ht="10.5" customHeight="1">
      <c r="B275" s="146"/>
      <c r="C275" s="211" t="s">
        <v>5448</v>
      </c>
      <c r="D275" s="247"/>
      <c r="F275" s="294"/>
      <c r="G275" s="578" t="s">
        <v>5026</v>
      </c>
      <c r="H275" s="578" t="s">
        <v>4894</v>
      </c>
      <c r="I275" s="579" t="s">
        <v>5034</v>
      </c>
      <c r="J275" s="579" t="s">
        <v>4689</v>
      </c>
      <c r="K275" s="580" t="s">
        <v>5035</v>
      </c>
      <c r="L275" s="581" t="s">
        <v>4879</v>
      </c>
      <c r="M275" s="1346" t="s">
        <v>4688</v>
      </c>
      <c r="N275" s="581" t="s">
        <v>4897</v>
      </c>
      <c r="O275" s="721" t="s">
        <v>5449</v>
      </c>
      <c r="P275" s="150" t="s">
        <v>5450</v>
      </c>
      <c r="Q275" s="150"/>
      <c r="R275" s="98"/>
      <c r="S275" s="146"/>
      <c r="T275" s="279" t="s">
        <v>5451</v>
      </c>
      <c r="U275" s="279" t="s">
        <v>142</v>
      </c>
      <c r="W275" s="25"/>
      <c r="X275" s="25"/>
      <c r="Z275" s="25"/>
      <c r="AA275" s="77"/>
      <c r="AB275" s="77"/>
      <c r="AC275" s="272"/>
      <c r="AD275" s="40"/>
      <c r="AE275" s="77"/>
      <c r="AF275" s="77"/>
      <c r="AG275" s="77"/>
      <c r="AH275" s="77"/>
      <c r="AI275" s="77"/>
      <c r="AJ275" s="77"/>
      <c r="AK275" s="77"/>
    </row>
    <row r="276" spans="2:37" ht="10.5" customHeight="1">
      <c r="B276" s="146"/>
      <c r="C276" s="211" t="s">
        <v>5452</v>
      </c>
      <c r="D276" s="247"/>
      <c r="F276" s="294"/>
      <c r="G276" s="578" t="s">
        <v>5256</v>
      </c>
      <c r="H276" s="578" t="s">
        <v>4894</v>
      </c>
      <c r="I276" s="582" t="s">
        <v>4884</v>
      </c>
      <c r="J276" s="582" t="s">
        <v>4689</v>
      </c>
      <c r="K276" s="580" t="s">
        <v>4902</v>
      </c>
      <c r="L276" s="581" t="s">
        <v>4879</v>
      </c>
      <c r="M276" s="1346" t="s">
        <v>4685</v>
      </c>
      <c r="N276" s="581" t="s">
        <v>4903</v>
      </c>
      <c r="O276" s="721" t="s">
        <v>5453</v>
      </c>
      <c r="P276" s="150" t="s">
        <v>5454</v>
      </c>
      <c r="Q276" s="150"/>
      <c r="R276" s="98"/>
      <c r="S276" s="146"/>
      <c r="T276" s="279" t="s">
        <v>91</v>
      </c>
      <c r="U276" s="279" t="s">
        <v>92</v>
      </c>
      <c r="W276" s="25"/>
      <c r="X276" s="25"/>
      <c r="Z276" s="25"/>
      <c r="AA276" s="77"/>
      <c r="AB276" s="77"/>
      <c r="AC276" s="272"/>
      <c r="AD276" s="40"/>
      <c r="AE276" s="77"/>
      <c r="AF276" s="77"/>
      <c r="AG276" s="77"/>
      <c r="AH276" s="77"/>
      <c r="AI276" s="77"/>
      <c r="AJ276" s="77"/>
      <c r="AK276" s="77"/>
    </row>
    <row r="277" spans="2:37" ht="10.5" customHeight="1">
      <c r="B277" s="146"/>
      <c r="C277" s="211" t="s">
        <v>5455</v>
      </c>
      <c r="D277" s="247"/>
      <c r="F277" s="294"/>
      <c r="G277" s="578" t="s">
        <v>5333</v>
      </c>
      <c r="H277" s="578" t="s">
        <v>4894</v>
      </c>
      <c r="I277" s="582" t="s">
        <v>5250</v>
      </c>
      <c r="J277" s="582" t="s">
        <v>4689</v>
      </c>
      <c r="K277" s="580" t="s">
        <v>5456</v>
      </c>
      <c r="L277" s="581" t="s">
        <v>4879</v>
      </c>
      <c r="M277" s="1346" t="s">
        <v>4688</v>
      </c>
      <c r="N277" s="581" t="s">
        <v>4888</v>
      </c>
      <c r="O277" s="721" t="s">
        <v>5457</v>
      </c>
      <c r="P277" s="150" t="s">
        <v>5458</v>
      </c>
      <c r="Q277" s="150"/>
      <c r="R277" s="98"/>
      <c r="S277" s="146"/>
      <c r="T277" s="279" t="s">
        <v>5459</v>
      </c>
      <c r="U277" s="279" t="s">
        <v>5114</v>
      </c>
      <c r="W277" s="25"/>
      <c r="X277" s="25"/>
      <c r="Z277" s="25"/>
      <c r="AA277" s="77"/>
      <c r="AB277" s="77"/>
      <c r="AC277" s="272"/>
      <c r="AD277" s="40"/>
      <c r="AE277" s="77"/>
      <c r="AF277" s="77"/>
      <c r="AG277" s="77"/>
      <c r="AH277" s="77"/>
      <c r="AI277" s="77"/>
      <c r="AJ277" s="77"/>
      <c r="AK277" s="77"/>
    </row>
    <row r="278" spans="2:37" ht="10.5" customHeight="1">
      <c r="F278" s="294"/>
      <c r="G278" s="578" t="s">
        <v>5460</v>
      </c>
      <c r="H278" s="578" t="s">
        <v>4894</v>
      </c>
      <c r="I278" s="582" t="s">
        <v>4884</v>
      </c>
      <c r="J278" s="582" t="s">
        <v>4689</v>
      </c>
      <c r="K278" s="580" t="s">
        <v>4902</v>
      </c>
      <c r="L278" s="581" t="s">
        <v>4879</v>
      </c>
      <c r="M278" s="1346" t="s">
        <v>4685</v>
      </c>
      <c r="N278" s="581" t="s">
        <v>4903</v>
      </c>
      <c r="O278" s="721" t="s">
        <v>5461</v>
      </c>
      <c r="P278" s="150" t="s">
        <v>5462</v>
      </c>
      <c r="Q278" s="150"/>
      <c r="R278" s="98"/>
      <c r="S278" s="146"/>
      <c r="T278" s="279" t="s">
        <v>5463</v>
      </c>
      <c r="U278" s="279" t="s">
        <v>5202</v>
      </c>
      <c r="W278" s="25"/>
      <c r="X278" s="25"/>
      <c r="Z278" s="77"/>
      <c r="AA278" s="77"/>
      <c r="AB278" s="77"/>
      <c r="AC278" s="272"/>
      <c r="AD278" s="40"/>
      <c r="AE278" s="77"/>
      <c r="AF278" s="77"/>
      <c r="AG278" s="77"/>
      <c r="AH278" s="77"/>
      <c r="AI278" s="77"/>
      <c r="AJ278" s="77"/>
      <c r="AK278" s="77"/>
    </row>
    <row r="279" spans="2:37" ht="10.5" customHeight="1">
      <c r="F279" s="294"/>
      <c r="G279" s="578" t="s">
        <v>5170</v>
      </c>
      <c r="H279" s="578" t="s">
        <v>4855</v>
      </c>
      <c r="I279" s="579" t="s">
        <v>5257</v>
      </c>
      <c r="J279" s="579" t="s">
        <v>4690</v>
      </c>
      <c r="K279" s="580" t="s">
        <v>5464</v>
      </c>
      <c r="L279" s="581" t="s">
        <v>4858</v>
      </c>
      <c r="M279" s="1346" t="s">
        <v>4688</v>
      </c>
      <c r="N279" s="581" t="s">
        <v>2143</v>
      </c>
      <c r="O279" s="721" t="s">
        <v>5465</v>
      </c>
      <c r="P279" s="150" t="s">
        <v>5466</v>
      </c>
      <c r="Q279" s="150"/>
      <c r="R279" s="98"/>
      <c r="S279" s="146"/>
      <c r="T279" s="279" t="s">
        <v>5467</v>
      </c>
      <c r="U279" s="279" t="s">
        <v>5114</v>
      </c>
      <c r="W279" s="25"/>
      <c r="X279" s="25"/>
      <c r="Z279" s="77"/>
      <c r="AA279" s="77"/>
      <c r="AB279" s="77"/>
      <c r="AC279" s="272"/>
      <c r="AD279" s="40"/>
      <c r="AE279" s="77"/>
      <c r="AF279" s="77"/>
      <c r="AG279" s="77"/>
      <c r="AH279" s="77"/>
      <c r="AI279" s="77"/>
      <c r="AJ279" s="77"/>
      <c r="AK279" s="77"/>
    </row>
    <row r="280" spans="2:37" ht="10.5" customHeight="1">
      <c r="F280" s="294"/>
      <c r="G280" s="578" t="s">
        <v>121</v>
      </c>
      <c r="H280" s="578" t="s">
        <v>4855</v>
      </c>
      <c r="I280" s="582" t="s">
        <v>4884</v>
      </c>
      <c r="J280" s="582" t="s">
        <v>4689</v>
      </c>
      <c r="K280" s="580" t="s">
        <v>4902</v>
      </c>
      <c r="L280" s="581" t="s">
        <v>4879</v>
      </c>
      <c r="M280" s="1346" t="s">
        <v>4685</v>
      </c>
      <c r="N280" s="581" t="s">
        <v>4903</v>
      </c>
      <c r="O280" s="721" t="s">
        <v>5468</v>
      </c>
      <c r="P280" s="150" t="s">
        <v>5469</v>
      </c>
      <c r="Q280" s="150"/>
      <c r="R280" s="98"/>
      <c r="S280" s="146"/>
      <c r="T280" s="279" t="s">
        <v>5470</v>
      </c>
      <c r="U280" s="279" t="s">
        <v>92</v>
      </c>
      <c r="W280" s="25"/>
      <c r="X280" s="25"/>
      <c r="Z280" s="77"/>
      <c r="AA280" s="77"/>
      <c r="AB280" s="77"/>
      <c r="AC280" s="272"/>
      <c r="AD280" s="40"/>
      <c r="AE280" s="77"/>
      <c r="AF280" s="77"/>
      <c r="AG280" s="77"/>
      <c r="AH280" s="77"/>
      <c r="AI280" s="77"/>
      <c r="AJ280" s="77"/>
      <c r="AK280" s="77"/>
    </row>
    <row r="281" spans="2:37" ht="10.5" customHeight="1">
      <c r="F281" s="294"/>
      <c r="G281" s="578" t="s">
        <v>5002</v>
      </c>
      <c r="H281" s="578" t="s">
        <v>4894</v>
      </c>
      <c r="I281" s="579" t="s">
        <v>5263</v>
      </c>
      <c r="J281" s="579" t="s">
        <v>4690</v>
      </c>
      <c r="K281" s="580" t="s">
        <v>5471</v>
      </c>
      <c r="L281" s="581" t="s">
        <v>4858</v>
      </c>
      <c r="M281" s="1346" t="s">
        <v>4688</v>
      </c>
      <c r="N281" s="581" t="s">
        <v>4903</v>
      </c>
      <c r="O281" s="721" t="s">
        <v>5472</v>
      </c>
      <c r="P281" s="150" t="s">
        <v>5473</v>
      </c>
      <c r="Q281" s="150"/>
      <c r="R281" s="98"/>
      <c r="S281" s="146"/>
      <c r="T281" s="279" t="s">
        <v>5474</v>
      </c>
      <c r="U281" s="279" t="s">
        <v>152</v>
      </c>
      <c r="W281" s="25"/>
      <c r="X281" s="25"/>
      <c r="Z281" s="77"/>
      <c r="AA281" s="77"/>
      <c r="AB281" s="77"/>
      <c r="AC281" s="272"/>
      <c r="AD281" s="40"/>
      <c r="AE281" s="77"/>
      <c r="AF281" s="77"/>
      <c r="AG281" s="77"/>
      <c r="AH281" s="77"/>
      <c r="AI281" s="77"/>
      <c r="AJ281" s="77"/>
      <c r="AK281" s="77"/>
    </row>
    <row r="282" spans="2:37" ht="10.5" customHeight="1">
      <c r="F282" s="294"/>
      <c r="G282" s="578" t="s">
        <v>5475</v>
      </c>
      <c r="H282" s="578" t="s">
        <v>4855</v>
      </c>
      <c r="I282" s="582" t="s">
        <v>5268</v>
      </c>
      <c r="J282" s="582" t="s">
        <v>4689</v>
      </c>
      <c r="K282" s="580" t="s">
        <v>5476</v>
      </c>
      <c r="L282" s="581" t="s">
        <v>4879</v>
      </c>
      <c r="M282" s="1346" t="s">
        <v>4688</v>
      </c>
      <c r="N282" s="581" t="s">
        <v>4888</v>
      </c>
      <c r="O282" s="721" t="s">
        <v>5477</v>
      </c>
      <c r="P282" s="150" t="s">
        <v>5478</v>
      </c>
      <c r="Q282" s="150"/>
      <c r="R282" s="98"/>
      <c r="S282" s="146"/>
      <c r="T282" s="279" t="s">
        <v>5479</v>
      </c>
      <c r="U282" s="279" t="s">
        <v>84</v>
      </c>
      <c r="W282" s="25"/>
      <c r="X282" s="25"/>
      <c r="Z282" s="77"/>
      <c r="AA282" s="77"/>
      <c r="AB282" s="77"/>
      <c r="AC282" s="272"/>
      <c r="AD282" s="40"/>
      <c r="AE282" s="77"/>
      <c r="AF282" s="77"/>
      <c r="AG282" s="77"/>
      <c r="AH282" s="77"/>
      <c r="AI282" s="77"/>
      <c r="AJ282" s="77"/>
      <c r="AK282" s="77"/>
    </row>
    <row r="283" spans="2:37" ht="10.5" customHeight="1">
      <c r="F283" s="294"/>
      <c r="G283" s="578" t="s">
        <v>5480</v>
      </c>
      <c r="H283" s="578" t="s">
        <v>4894</v>
      </c>
      <c r="I283" s="582" t="s">
        <v>5274</v>
      </c>
      <c r="J283" s="582" t="s">
        <v>4690</v>
      </c>
      <c r="K283" s="580" t="s">
        <v>5481</v>
      </c>
      <c r="L283" s="581" t="s">
        <v>4858</v>
      </c>
      <c r="M283" s="1346" t="s">
        <v>4688</v>
      </c>
      <c r="N283" s="581" t="s">
        <v>4903</v>
      </c>
      <c r="O283" s="721" t="s">
        <v>5482</v>
      </c>
      <c r="P283" s="150" t="s">
        <v>5483</v>
      </c>
      <c r="Q283" s="150"/>
      <c r="R283" s="98"/>
      <c r="S283" s="146"/>
      <c r="T283" s="279" t="s">
        <v>5484</v>
      </c>
      <c r="U283" s="279" t="s">
        <v>105</v>
      </c>
      <c r="W283" s="25"/>
      <c r="X283" s="25"/>
      <c r="Z283" s="77"/>
      <c r="AA283" s="77"/>
      <c r="AB283" s="77"/>
      <c r="AC283" s="272"/>
      <c r="AD283" s="40"/>
      <c r="AE283" s="77"/>
      <c r="AF283" s="77"/>
      <c r="AG283" s="77"/>
      <c r="AH283" s="77"/>
      <c r="AI283" s="77"/>
      <c r="AJ283" s="77"/>
      <c r="AK283" s="77"/>
    </row>
    <row r="284" spans="2:37" ht="10.5" customHeight="1">
      <c r="F284" s="294"/>
      <c r="G284" s="578" t="s">
        <v>114</v>
      </c>
      <c r="H284" s="578" t="s">
        <v>4855</v>
      </c>
      <c r="I284" s="579" t="s">
        <v>5279</v>
      </c>
      <c r="J284" s="579" t="s">
        <v>4690</v>
      </c>
      <c r="K284" s="580" t="s">
        <v>5485</v>
      </c>
      <c r="L284" s="581" t="s">
        <v>4858</v>
      </c>
      <c r="M284" s="1346" t="s">
        <v>4688</v>
      </c>
      <c r="N284" s="581" t="s">
        <v>5015</v>
      </c>
      <c r="O284" s="721" t="s">
        <v>5486</v>
      </c>
      <c r="P284" s="150" t="s">
        <v>5487</v>
      </c>
      <c r="Q284" s="150"/>
      <c r="R284" s="98"/>
      <c r="S284" s="146"/>
      <c r="T284" s="279" t="s">
        <v>89</v>
      </c>
      <c r="U284" s="279" t="s">
        <v>5488</v>
      </c>
      <c r="W284" s="25"/>
      <c r="X284" s="25"/>
      <c r="Z284" s="77"/>
      <c r="AA284" s="77"/>
      <c r="AB284" s="77"/>
      <c r="AC284" s="272"/>
      <c r="AD284" s="40"/>
      <c r="AE284" s="77"/>
      <c r="AF284" s="77"/>
      <c r="AG284" s="77"/>
      <c r="AH284" s="77"/>
      <c r="AI284" s="77"/>
      <c r="AJ284" s="77"/>
      <c r="AK284" s="77"/>
    </row>
    <row r="285" spans="2:37" ht="10.5" customHeight="1">
      <c r="F285" s="294"/>
      <c r="G285" s="578" t="s">
        <v>5488</v>
      </c>
      <c r="H285" s="578" t="s">
        <v>4894</v>
      </c>
      <c r="I285" s="579" t="s">
        <v>5283</v>
      </c>
      <c r="J285" s="579" t="s">
        <v>4690</v>
      </c>
      <c r="K285" s="580" t="s">
        <v>5489</v>
      </c>
      <c r="L285" s="581" t="s">
        <v>4858</v>
      </c>
      <c r="M285" s="1346" t="s">
        <v>4688</v>
      </c>
      <c r="N285" s="581" t="s">
        <v>4897</v>
      </c>
      <c r="O285" s="721" t="s">
        <v>5490</v>
      </c>
      <c r="P285" s="150" t="s">
        <v>5491</v>
      </c>
      <c r="Q285" s="150"/>
      <c r="R285" s="98"/>
      <c r="S285" s="146"/>
      <c r="T285" s="279" t="s">
        <v>5492</v>
      </c>
      <c r="U285" s="279" t="s">
        <v>5245</v>
      </c>
      <c r="W285" s="25"/>
      <c r="X285" s="25"/>
      <c r="Z285" s="77"/>
      <c r="AA285" s="77"/>
      <c r="AB285" s="77"/>
      <c r="AC285" s="272"/>
      <c r="AD285" s="40"/>
      <c r="AE285" s="77"/>
      <c r="AF285" s="77"/>
      <c r="AG285" s="77"/>
      <c r="AH285" s="77"/>
      <c r="AI285" s="77"/>
      <c r="AJ285" s="77"/>
      <c r="AK285" s="77"/>
    </row>
    <row r="286" spans="2:37" ht="10.5" customHeight="1">
      <c r="F286" s="294"/>
      <c r="G286" s="578" t="s">
        <v>5493</v>
      </c>
      <c r="H286" s="578" t="s">
        <v>4855</v>
      </c>
      <c r="I286" s="579" t="s">
        <v>5287</v>
      </c>
      <c r="J286" s="579" t="s">
        <v>4690</v>
      </c>
      <c r="K286" s="580" t="s">
        <v>5494</v>
      </c>
      <c r="L286" s="581" t="s">
        <v>4858</v>
      </c>
      <c r="M286" s="1346" t="s">
        <v>4688</v>
      </c>
      <c r="N286" s="581" t="s">
        <v>2057</v>
      </c>
      <c r="O286" s="721" t="s">
        <v>5495</v>
      </c>
      <c r="P286" s="150" t="s">
        <v>5496</v>
      </c>
      <c r="Q286" s="150"/>
      <c r="R286" s="98"/>
      <c r="S286" s="146"/>
      <c r="T286" s="279" t="s">
        <v>5497</v>
      </c>
      <c r="U286" s="279" t="s">
        <v>5498</v>
      </c>
      <c r="W286" s="25"/>
      <c r="X286" s="25"/>
      <c r="Z286" s="77"/>
      <c r="AA286" s="77"/>
      <c r="AB286" s="77"/>
      <c r="AC286" s="272"/>
      <c r="AD286" s="40"/>
      <c r="AE286" s="77"/>
      <c r="AF286" s="77"/>
      <c r="AG286" s="77"/>
      <c r="AH286" s="77"/>
      <c r="AI286" s="77"/>
      <c r="AJ286" s="77"/>
      <c r="AK286" s="77"/>
    </row>
    <row r="287" spans="2:37" ht="10.5" customHeight="1">
      <c r="F287" s="294"/>
      <c r="G287" s="578" t="s">
        <v>5056</v>
      </c>
      <c r="H287" s="578" t="s">
        <v>4924</v>
      </c>
      <c r="I287" s="582" t="s">
        <v>4892</v>
      </c>
      <c r="J287" s="582" t="s">
        <v>4689</v>
      </c>
      <c r="K287" s="580" t="s">
        <v>4962</v>
      </c>
      <c r="L287" s="581" t="s">
        <v>4879</v>
      </c>
      <c r="M287" s="1346" t="s">
        <v>4685</v>
      </c>
      <c r="N287" s="581" t="s">
        <v>4963</v>
      </c>
      <c r="O287" s="721" t="s">
        <v>5499</v>
      </c>
      <c r="P287" s="150" t="s">
        <v>5500</v>
      </c>
      <c r="Q287" s="150"/>
      <c r="R287" s="98"/>
      <c r="S287" s="146"/>
      <c r="T287" s="279" t="s">
        <v>5501</v>
      </c>
      <c r="U287" s="279" t="s">
        <v>5047</v>
      </c>
      <c r="W287" s="25"/>
      <c r="X287" s="25"/>
      <c r="AA287"/>
      <c r="AB287"/>
      <c r="AC287" s="272"/>
      <c r="AD287" s="40"/>
    </row>
    <row r="288" spans="2:37" ht="10.5" customHeight="1">
      <c r="F288" s="294"/>
      <c r="G288" s="578" t="s">
        <v>131</v>
      </c>
      <c r="H288" s="578" t="s">
        <v>4894</v>
      </c>
      <c r="I288" s="582" t="s">
        <v>4884</v>
      </c>
      <c r="J288" s="582" t="s">
        <v>4689</v>
      </c>
      <c r="K288" s="580" t="s">
        <v>4902</v>
      </c>
      <c r="L288" s="581" t="s">
        <v>4879</v>
      </c>
      <c r="M288" s="1346" t="s">
        <v>4685</v>
      </c>
      <c r="N288" s="581" t="s">
        <v>4903</v>
      </c>
      <c r="O288" s="721" t="s">
        <v>5502</v>
      </c>
      <c r="P288" s="150" t="s">
        <v>5503</v>
      </c>
      <c r="Q288" s="150"/>
      <c r="R288" s="98"/>
      <c r="S288" s="146"/>
      <c r="T288" s="279" t="s">
        <v>5504</v>
      </c>
      <c r="U288" s="279" t="s">
        <v>5505</v>
      </c>
      <c r="W288" s="25"/>
      <c r="X288" s="25"/>
      <c r="AA288"/>
      <c r="AB288"/>
      <c r="AC288" s="272"/>
      <c r="AD288" s="40"/>
    </row>
    <row r="289" spans="6:30" ht="10.5" customHeight="1">
      <c r="F289" s="294"/>
      <c r="G289" s="578" t="s">
        <v>5506</v>
      </c>
      <c r="H289" s="578" t="s">
        <v>4855</v>
      </c>
      <c r="I289" s="579" t="s">
        <v>5300</v>
      </c>
      <c r="J289" s="579" t="s">
        <v>4690</v>
      </c>
      <c r="K289" s="580" t="s">
        <v>5507</v>
      </c>
      <c r="L289" s="581" t="s">
        <v>4858</v>
      </c>
      <c r="M289" s="1346" t="s">
        <v>4688</v>
      </c>
      <c r="N289" s="581" t="s">
        <v>5015</v>
      </c>
      <c r="O289" s="721" t="s">
        <v>5508</v>
      </c>
      <c r="P289" s="150" t="s">
        <v>5509</v>
      </c>
      <c r="Q289" s="150"/>
      <c r="R289" s="98"/>
      <c r="S289" s="146"/>
      <c r="T289" s="279" t="s">
        <v>2082</v>
      </c>
      <c r="U289" s="279" t="s">
        <v>4931</v>
      </c>
      <c r="W289" s="25"/>
      <c r="X289" s="25"/>
      <c r="AA289"/>
      <c r="AB289"/>
      <c r="AC289" s="272"/>
      <c r="AD289" s="40"/>
    </row>
    <row r="290" spans="6:30" ht="10.5" customHeight="1">
      <c r="F290" s="294"/>
      <c r="G290" s="578" t="s">
        <v>5510</v>
      </c>
      <c r="H290" s="578" t="s">
        <v>4855</v>
      </c>
      <c r="I290" s="579" t="s">
        <v>5306</v>
      </c>
      <c r="J290" s="579" t="s">
        <v>4690</v>
      </c>
      <c r="K290" s="580" t="s">
        <v>5511</v>
      </c>
      <c r="L290" s="581" t="s">
        <v>4858</v>
      </c>
      <c r="M290" s="1346" t="s">
        <v>4688</v>
      </c>
      <c r="N290" s="581" t="s">
        <v>4859</v>
      </c>
      <c r="O290" s="721" t="s">
        <v>5512</v>
      </c>
      <c r="P290" s="150" t="s">
        <v>5513</v>
      </c>
      <c r="Q290" s="150"/>
      <c r="R290" s="98"/>
      <c r="S290" s="146"/>
      <c r="T290" s="279" t="s">
        <v>5514</v>
      </c>
      <c r="U290" s="279" t="s">
        <v>5515</v>
      </c>
      <c r="W290" s="25"/>
      <c r="X290" s="25"/>
      <c r="AA290"/>
      <c r="AB290"/>
      <c r="AC290" s="272"/>
      <c r="AD290" s="40"/>
    </row>
    <row r="291" spans="6:30" ht="10.5" customHeight="1">
      <c r="F291" s="294"/>
      <c r="G291" s="578" t="s">
        <v>4862</v>
      </c>
      <c r="H291" s="578"/>
      <c r="I291" s="578" t="s">
        <v>4862</v>
      </c>
      <c r="J291" s="579"/>
      <c r="K291" s="580"/>
      <c r="L291" s="581"/>
      <c r="M291" s="1347" t="s">
        <v>4862</v>
      </c>
      <c r="N291" s="578" t="s">
        <v>4862</v>
      </c>
      <c r="O291" s="721" t="s">
        <v>5516</v>
      </c>
      <c r="P291" s="150" t="s">
        <v>5517</v>
      </c>
      <c r="Q291" s="150"/>
      <c r="R291" s="98"/>
      <c r="S291" s="146"/>
      <c r="T291" s="279" t="s">
        <v>5518</v>
      </c>
      <c r="U291" s="279" t="s">
        <v>2114</v>
      </c>
      <c r="W291" s="25"/>
      <c r="X291" s="25"/>
      <c r="AA291"/>
      <c r="AB291"/>
      <c r="AC291" s="272"/>
      <c r="AD291" s="40"/>
    </row>
    <row r="292" spans="6:30" ht="10.5" customHeight="1">
      <c r="F292" s="294"/>
      <c r="G292" s="578" t="s">
        <v>5519</v>
      </c>
      <c r="H292" s="578" t="s">
        <v>4855</v>
      </c>
      <c r="I292" s="582" t="s">
        <v>5312</v>
      </c>
      <c r="J292" s="579" t="s">
        <v>4690</v>
      </c>
      <c r="K292" s="580" t="s">
        <v>5520</v>
      </c>
      <c r="L292" s="581" t="s">
        <v>4858</v>
      </c>
      <c r="M292" s="1346" t="s">
        <v>4688</v>
      </c>
      <c r="N292" s="581" t="s">
        <v>2057</v>
      </c>
      <c r="O292" s="721" t="s">
        <v>5521</v>
      </c>
      <c r="P292" s="150" t="s">
        <v>5522</v>
      </c>
      <c r="Q292" s="150"/>
      <c r="R292" s="98"/>
      <c r="S292" s="146"/>
      <c r="T292" s="146" t="s">
        <v>5523</v>
      </c>
      <c r="U292" s="146" t="s">
        <v>5493</v>
      </c>
      <c r="W292" s="25"/>
      <c r="X292" s="25"/>
      <c r="AA292"/>
      <c r="AB292"/>
      <c r="AC292" s="272"/>
      <c r="AD292" s="40"/>
    </row>
    <row r="293" spans="6:30" ht="10.5" customHeight="1">
      <c r="F293" s="294"/>
      <c r="G293" s="578" t="s">
        <v>102</v>
      </c>
      <c r="H293" s="578" t="s">
        <v>4894</v>
      </c>
      <c r="I293" s="582" t="s">
        <v>4884</v>
      </c>
      <c r="J293" s="582" t="s">
        <v>4689</v>
      </c>
      <c r="K293" s="580" t="s">
        <v>4902</v>
      </c>
      <c r="L293" s="581" t="s">
        <v>4879</v>
      </c>
      <c r="M293" s="1346" t="s">
        <v>4685</v>
      </c>
      <c r="N293" s="581" t="s">
        <v>4903</v>
      </c>
      <c r="O293" s="721" t="s">
        <v>5524</v>
      </c>
      <c r="P293" s="150" t="s">
        <v>5525</v>
      </c>
      <c r="Q293" s="150"/>
      <c r="R293" s="98"/>
      <c r="S293" s="146"/>
      <c r="T293" s="279" t="s">
        <v>5526</v>
      </c>
      <c r="U293" s="279" t="s">
        <v>142</v>
      </c>
      <c r="W293" s="25"/>
      <c r="X293" s="25"/>
      <c r="AA293"/>
      <c r="AB293"/>
      <c r="AC293" s="40"/>
      <c r="AD293" s="40"/>
    </row>
    <row r="294" spans="6:30" ht="10.5" customHeight="1">
      <c r="F294" s="294"/>
      <c r="G294" s="578" t="s">
        <v>5068</v>
      </c>
      <c r="H294" s="578" t="s">
        <v>4894</v>
      </c>
      <c r="I294" s="582" t="s">
        <v>5318</v>
      </c>
      <c r="J294" s="582" t="s">
        <v>4690</v>
      </c>
      <c r="K294" s="580" t="s">
        <v>5527</v>
      </c>
      <c r="L294" s="581" t="s">
        <v>4858</v>
      </c>
      <c r="M294" s="1346" t="s">
        <v>4688</v>
      </c>
      <c r="N294" s="581" t="s">
        <v>4897</v>
      </c>
      <c r="O294" s="721" t="s">
        <v>5528</v>
      </c>
      <c r="P294" s="150" t="s">
        <v>5529</v>
      </c>
      <c r="Q294" s="150"/>
      <c r="R294" s="98"/>
      <c r="S294" s="146"/>
      <c r="T294" s="279" t="s">
        <v>5530</v>
      </c>
      <c r="U294" s="279" t="s">
        <v>5505</v>
      </c>
      <c r="W294" s="25"/>
      <c r="X294" s="25"/>
      <c r="AA294"/>
      <c r="AB294"/>
      <c r="AC294" s="272"/>
      <c r="AD294" s="40"/>
    </row>
    <row r="295" spans="6:30" ht="10.5" customHeight="1">
      <c r="F295" s="294"/>
      <c r="G295" s="578" t="s">
        <v>5531</v>
      </c>
      <c r="H295" s="578" t="s">
        <v>4855</v>
      </c>
      <c r="I295" s="579" t="s">
        <v>5324</v>
      </c>
      <c r="J295" s="582" t="s">
        <v>4689</v>
      </c>
      <c r="K295" s="580" t="s">
        <v>5532</v>
      </c>
      <c r="L295" s="581" t="s">
        <v>4858</v>
      </c>
      <c r="M295" s="1346" t="s">
        <v>4688</v>
      </c>
      <c r="N295" s="581" t="s">
        <v>5015</v>
      </c>
      <c r="O295" s="721" t="s">
        <v>5533</v>
      </c>
      <c r="P295" s="150" t="s">
        <v>5534</v>
      </c>
      <c r="Q295" s="150"/>
      <c r="R295" s="98"/>
      <c r="S295" s="146"/>
      <c r="T295" s="279" t="s">
        <v>5063</v>
      </c>
      <c r="U295" s="279" t="s">
        <v>5406</v>
      </c>
      <c r="W295" s="25"/>
      <c r="X295" s="25"/>
      <c r="AA295"/>
      <c r="AB295"/>
      <c r="AC295" s="272"/>
      <c r="AD295" s="40"/>
    </row>
    <row r="296" spans="6:30" ht="10.5" customHeight="1">
      <c r="F296" s="294"/>
      <c r="G296" s="578" t="s">
        <v>4980</v>
      </c>
      <c r="H296" s="578" t="s">
        <v>4924</v>
      </c>
      <c r="I296" s="579" t="s">
        <v>5329</v>
      </c>
      <c r="J296" s="579" t="s">
        <v>4690</v>
      </c>
      <c r="K296" s="580" t="s">
        <v>5535</v>
      </c>
      <c r="L296" s="581" t="s">
        <v>4858</v>
      </c>
      <c r="M296" s="1346" t="s">
        <v>4688</v>
      </c>
      <c r="N296" s="581" t="s">
        <v>2057</v>
      </c>
      <c r="O296" s="721" t="s">
        <v>5536</v>
      </c>
      <c r="P296" s="150" t="s">
        <v>5537</v>
      </c>
      <c r="Q296" s="150"/>
      <c r="R296" s="98"/>
      <c r="S296" s="146"/>
      <c r="T296" s="279" t="s">
        <v>5015</v>
      </c>
      <c r="U296" s="279" t="s">
        <v>5157</v>
      </c>
      <c r="W296" s="25"/>
      <c r="X296" s="25"/>
      <c r="AA296"/>
      <c r="AB296"/>
      <c r="AC296" s="272"/>
      <c r="AD296" s="40"/>
    </row>
    <row r="297" spans="6:30" ht="10.5" customHeight="1">
      <c r="F297" s="294"/>
      <c r="G297" s="578" t="s">
        <v>5538</v>
      </c>
      <c r="H297" s="578" t="s">
        <v>4855</v>
      </c>
      <c r="I297" s="579" t="s">
        <v>5334</v>
      </c>
      <c r="J297" s="579" t="s">
        <v>4689</v>
      </c>
      <c r="K297" s="580" t="s">
        <v>5539</v>
      </c>
      <c r="L297" s="581" t="s">
        <v>4858</v>
      </c>
      <c r="M297" s="1346" t="s">
        <v>4688</v>
      </c>
      <c r="N297" s="581" t="s">
        <v>5015</v>
      </c>
      <c r="O297" s="721" t="s">
        <v>5540</v>
      </c>
      <c r="P297" s="150" t="s">
        <v>5541</v>
      </c>
      <c r="Q297" s="150"/>
      <c r="R297" s="98"/>
      <c r="S297" s="146"/>
      <c r="T297" s="279" t="s">
        <v>5542</v>
      </c>
      <c r="U297" s="279" t="s">
        <v>2114</v>
      </c>
      <c r="W297" s="25"/>
      <c r="X297" s="25"/>
      <c r="AA297"/>
      <c r="AB297"/>
      <c r="AC297" s="272"/>
      <c r="AD297" s="40"/>
    </row>
    <row r="298" spans="6:30" ht="10.5" customHeight="1">
      <c r="F298" s="294"/>
      <c r="G298" s="578" t="s">
        <v>5543</v>
      </c>
      <c r="H298" s="578" t="s">
        <v>4894</v>
      </c>
      <c r="I298" s="579" t="s">
        <v>5340</v>
      </c>
      <c r="J298" s="579" t="s">
        <v>4690</v>
      </c>
      <c r="K298" s="580" t="s">
        <v>5544</v>
      </c>
      <c r="L298" s="581" t="s">
        <v>4858</v>
      </c>
      <c r="M298" s="1346" t="s">
        <v>4688</v>
      </c>
      <c r="N298" s="581" t="s">
        <v>4897</v>
      </c>
      <c r="O298" s="721" t="s">
        <v>5545</v>
      </c>
      <c r="P298" s="150" t="s">
        <v>5546</v>
      </c>
      <c r="Q298" s="150"/>
      <c r="R298" s="98"/>
      <c r="S298" s="146"/>
      <c r="T298" s="146" t="s">
        <v>2085</v>
      </c>
      <c r="U298" s="146" t="s">
        <v>5009</v>
      </c>
      <c r="W298" s="25"/>
      <c r="X298" s="25"/>
      <c r="AA298"/>
      <c r="AB298"/>
      <c r="AC298" s="272"/>
      <c r="AD298" s="40"/>
    </row>
    <row r="299" spans="6:30" ht="10.5" customHeight="1">
      <c r="F299" s="294"/>
      <c r="G299" s="578" t="s">
        <v>5505</v>
      </c>
      <c r="H299" s="578" t="s">
        <v>4855</v>
      </c>
      <c r="I299" s="579" t="s">
        <v>5345</v>
      </c>
      <c r="J299" s="579" t="s">
        <v>4690</v>
      </c>
      <c r="K299" s="580" t="s">
        <v>5547</v>
      </c>
      <c r="L299" s="581" t="s">
        <v>4858</v>
      </c>
      <c r="M299" s="1346" t="s">
        <v>4688</v>
      </c>
      <c r="N299" s="581" t="s">
        <v>4859</v>
      </c>
      <c r="O299" s="721" t="s">
        <v>5548</v>
      </c>
      <c r="P299" s="150" t="s">
        <v>5549</v>
      </c>
      <c r="Q299" s="150"/>
      <c r="R299" s="98"/>
      <c r="S299" s="146"/>
      <c r="T299" s="279" t="s">
        <v>5550</v>
      </c>
      <c r="U299" s="279" t="s">
        <v>121</v>
      </c>
      <c r="W299" s="25"/>
      <c r="X299" s="25"/>
      <c r="AA299"/>
      <c r="AB299"/>
      <c r="AC299" s="40"/>
      <c r="AD299" s="40"/>
    </row>
    <row r="300" spans="6:30" ht="10.5" customHeight="1">
      <c r="F300" s="294"/>
      <c r="G300" s="578" t="s">
        <v>5323</v>
      </c>
      <c r="H300" s="578" t="s">
        <v>4855</v>
      </c>
      <c r="I300" s="579" t="s">
        <v>5349</v>
      </c>
      <c r="J300" s="579" t="s">
        <v>4690</v>
      </c>
      <c r="K300" s="580" t="s">
        <v>5551</v>
      </c>
      <c r="L300" s="581" t="s">
        <v>4858</v>
      </c>
      <c r="M300" s="1346" t="s">
        <v>4688</v>
      </c>
      <c r="N300" s="581" t="s">
        <v>5015</v>
      </c>
      <c r="O300" s="721" t="s">
        <v>5552</v>
      </c>
      <c r="P300" s="150" t="s">
        <v>5553</v>
      </c>
      <c r="Q300" s="150"/>
      <c r="R300" s="98"/>
      <c r="S300" s="146"/>
      <c r="T300" s="279" t="s">
        <v>93</v>
      </c>
      <c r="U300" s="279" t="s">
        <v>89</v>
      </c>
      <c r="W300" s="25"/>
      <c r="X300" s="25"/>
      <c r="AA300"/>
      <c r="AB300"/>
      <c r="AC300" s="272"/>
      <c r="AD300" s="40"/>
    </row>
    <row r="301" spans="6:30" ht="10.5" customHeight="1">
      <c r="F301" s="294"/>
      <c r="G301" s="578" t="s">
        <v>5554</v>
      </c>
      <c r="H301" s="578" t="s">
        <v>4855</v>
      </c>
      <c r="I301" s="579" t="s">
        <v>5355</v>
      </c>
      <c r="J301" s="579" t="s">
        <v>4690</v>
      </c>
      <c r="K301" s="580" t="s">
        <v>5555</v>
      </c>
      <c r="L301" s="581" t="s">
        <v>4858</v>
      </c>
      <c r="M301" s="1346" t="s">
        <v>4688</v>
      </c>
      <c r="N301" s="581" t="s">
        <v>2057</v>
      </c>
      <c r="O301" s="721" t="s">
        <v>5556</v>
      </c>
      <c r="P301" s="150" t="s">
        <v>5557</v>
      </c>
      <c r="Q301" s="150"/>
      <c r="R301" s="98"/>
      <c r="S301" s="146"/>
      <c r="T301" s="279" t="s">
        <v>2089</v>
      </c>
      <c r="U301" s="279" t="s">
        <v>131</v>
      </c>
      <c r="W301" s="25"/>
      <c r="X301" s="25"/>
      <c r="AA301"/>
      <c r="AB301"/>
      <c r="AC301" s="272"/>
      <c r="AD301" s="40"/>
    </row>
    <row r="302" spans="6:30" ht="10.5" customHeight="1">
      <c r="F302" s="294"/>
      <c r="G302" s="578" t="s">
        <v>5273</v>
      </c>
      <c r="H302" s="578" t="s">
        <v>4855</v>
      </c>
      <c r="I302" s="582" t="s">
        <v>2057</v>
      </c>
      <c r="J302" s="579" t="s">
        <v>4689</v>
      </c>
      <c r="K302" s="580" t="s">
        <v>5126</v>
      </c>
      <c r="L302" s="581" t="s">
        <v>4879</v>
      </c>
      <c r="M302" s="1346" t="s">
        <v>4688</v>
      </c>
      <c r="N302" s="581" t="s">
        <v>2057</v>
      </c>
      <c r="O302" s="721" t="s">
        <v>5558</v>
      </c>
      <c r="P302" s="150" t="s">
        <v>5559</v>
      </c>
      <c r="Q302" s="150"/>
      <c r="R302" s="98"/>
      <c r="S302" s="146"/>
      <c r="T302" s="279" t="s">
        <v>5560</v>
      </c>
      <c r="U302" s="279" t="s">
        <v>5112</v>
      </c>
      <c r="W302" s="25"/>
      <c r="X302" s="25"/>
      <c r="AA302"/>
      <c r="AB302"/>
      <c r="AC302" s="272"/>
      <c r="AD302" s="40"/>
    </row>
    <row r="303" spans="6:30" ht="10.5" customHeight="1">
      <c r="F303" s="294"/>
      <c r="G303" s="578" t="s">
        <v>5112</v>
      </c>
      <c r="H303" s="578" t="s">
        <v>4855</v>
      </c>
      <c r="I303" s="582" t="s">
        <v>5362</v>
      </c>
      <c r="J303" s="582" t="s">
        <v>4690</v>
      </c>
      <c r="K303" s="580" t="s">
        <v>5561</v>
      </c>
      <c r="L303" s="581" t="s">
        <v>4858</v>
      </c>
      <c r="M303" s="1346" t="s">
        <v>4688</v>
      </c>
      <c r="N303" s="581" t="s">
        <v>2143</v>
      </c>
      <c r="O303" s="721" t="s">
        <v>5562</v>
      </c>
      <c r="P303" s="150" t="s">
        <v>5563</v>
      </c>
      <c r="Q303" s="150"/>
      <c r="R303" s="98"/>
      <c r="S303" s="146"/>
      <c r="T303" s="279" t="s">
        <v>2093</v>
      </c>
      <c r="U303" s="279" t="s">
        <v>4996</v>
      </c>
      <c r="W303" s="25"/>
      <c r="X303" s="25"/>
      <c r="AA303"/>
      <c r="AB303"/>
      <c r="AC303" s="272"/>
      <c r="AD303" s="40"/>
    </row>
    <row r="304" spans="6:30" ht="10.5" customHeight="1">
      <c r="F304" s="294"/>
      <c r="G304" s="578" t="s">
        <v>148</v>
      </c>
      <c r="H304" s="578" t="s">
        <v>4855</v>
      </c>
      <c r="I304" s="582" t="s">
        <v>5368</v>
      </c>
      <c r="J304" s="582" t="s">
        <v>4690</v>
      </c>
      <c r="K304" s="580" t="s">
        <v>5564</v>
      </c>
      <c r="L304" s="581" t="s">
        <v>4858</v>
      </c>
      <c r="M304" s="1346" t="s">
        <v>4688</v>
      </c>
      <c r="N304" s="581" t="s">
        <v>2057</v>
      </c>
      <c r="O304" s="721" t="s">
        <v>5565</v>
      </c>
      <c r="P304" s="150" t="s">
        <v>5566</v>
      </c>
      <c r="Q304" s="150"/>
      <c r="R304" s="98"/>
      <c r="S304" s="146"/>
      <c r="T304" s="279" t="s">
        <v>5567</v>
      </c>
      <c r="U304" s="279" t="s">
        <v>5275</v>
      </c>
      <c r="W304" s="25"/>
      <c r="X304" s="25"/>
      <c r="AA304"/>
      <c r="AB304"/>
      <c r="AC304" s="272"/>
      <c r="AD304" s="520"/>
    </row>
    <row r="305" spans="6:30" ht="10.5" customHeight="1">
      <c r="F305" s="294"/>
      <c r="G305" s="578" t="s">
        <v>5568</v>
      </c>
      <c r="H305" s="578" t="s">
        <v>4855</v>
      </c>
      <c r="I305" s="582" t="s">
        <v>5371</v>
      </c>
      <c r="J305" s="582" t="s">
        <v>4690</v>
      </c>
      <c r="K305" s="580" t="s">
        <v>5569</v>
      </c>
      <c r="L305" s="581" t="s">
        <v>4858</v>
      </c>
      <c r="M305" s="1346" t="s">
        <v>4688</v>
      </c>
      <c r="N305" s="581" t="s">
        <v>4859</v>
      </c>
      <c r="O305" s="721" t="s">
        <v>5570</v>
      </c>
      <c r="P305" s="150" t="s">
        <v>5571</v>
      </c>
      <c r="Q305" s="150"/>
      <c r="R305" s="98"/>
      <c r="S305" s="146"/>
      <c r="T305" s="279" t="s">
        <v>5572</v>
      </c>
      <c r="U305" s="279" t="s">
        <v>152</v>
      </c>
      <c r="W305" s="25"/>
      <c r="X305" s="25"/>
      <c r="AA305"/>
      <c r="AB305"/>
      <c r="AC305" s="272"/>
      <c r="AD305" s="40"/>
    </row>
    <row r="306" spans="6:30" ht="10.5" customHeight="1">
      <c r="F306" s="294"/>
      <c r="G306" s="578" t="s">
        <v>117</v>
      </c>
      <c r="H306" s="578" t="s">
        <v>4894</v>
      </c>
      <c r="I306" s="582" t="s">
        <v>5377</v>
      </c>
      <c r="J306" s="582" t="s">
        <v>4690</v>
      </c>
      <c r="K306" s="580" t="s">
        <v>5573</v>
      </c>
      <c r="L306" s="581" t="s">
        <v>4858</v>
      </c>
      <c r="M306" s="1346" t="s">
        <v>4688</v>
      </c>
      <c r="N306" s="581" t="s">
        <v>4897</v>
      </c>
      <c r="O306" s="721" t="s">
        <v>5574</v>
      </c>
      <c r="P306" s="150" t="s">
        <v>5575</v>
      </c>
      <c r="Q306" s="150"/>
      <c r="R306" s="98"/>
      <c r="S306" s="146"/>
      <c r="T306" s="279" t="s">
        <v>94</v>
      </c>
      <c r="U306" s="279" t="s">
        <v>95</v>
      </c>
      <c r="W306" s="25"/>
      <c r="X306" s="25"/>
      <c r="AA306"/>
      <c r="AB306"/>
      <c r="AC306" s="272"/>
      <c r="AD306" s="40"/>
    </row>
    <row r="307" spans="6:30" ht="10.5" customHeight="1">
      <c r="F307" s="294"/>
      <c r="G307" s="578" t="s">
        <v>5576</v>
      </c>
      <c r="H307" s="578" t="s">
        <v>4855</v>
      </c>
      <c r="I307" s="582" t="s">
        <v>5382</v>
      </c>
      <c r="J307" s="582" t="s">
        <v>4690</v>
      </c>
      <c r="K307" s="580" t="s">
        <v>5577</v>
      </c>
      <c r="L307" s="581" t="s">
        <v>4858</v>
      </c>
      <c r="M307" s="1346" t="s">
        <v>4688</v>
      </c>
      <c r="N307" s="581" t="s">
        <v>4888</v>
      </c>
      <c r="O307" s="721" t="s">
        <v>5578</v>
      </c>
      <c r="P307" s="150" t="s">
        <v>5579</v>
      </c>
      <c r="Q307" s="150"/>
      <c r="R307" s="98"/>
      <c r="S307" s="146"/>
      <c r="T307" s="279" t="s">
        <v>5580</v>
      </c>
      <c r="U307" s="279" t="s">
        <v>5440</v>
      </c>
      <c r="W307" s="25"/>
      <c r="X307" s="25"/>
      <c r="AA307"/>
      <c r="AB307"/>
      <c r="AC307" s="272"/>
      <c r="AD307" s="40"/>
    </row>
    <row r="308" spans="6:30" ht="10.5" customHeight="1">
      <c r="F308" s="294"/>
      <c r="G308" s="578" t="s">
        <v>5581</v>
      </c>
      <c r="H308" s="578" t="s">
        <v>4855</v>
      </c>
      <c r="I308" s="579" t="s">
        <v>5386</v>
      </c>
      <c r="J308" s="582" t="s">
        <v>4690</v>
      </c>
      <c r="K308" s="580" t="s">
        <v>5582</v>
      </c>
      <c r="L308" s="581" t="s">
        <v>4858</v>
      </c>
      <c r="M308" s="1346" t="s">
        <v>4688</v>
      </c>
      <c r="N308" s="581" t="s">
        <v>4903</v>
      </c>
      <c r="O308" s="721" t="s">
        <v>5583</v>
      </c>
      <c r="P308" s="150" t="s">
        <v>5584</v>
      </c>
      <c r="Q308" s="150"/>
      <c r="R308" s="98"/>
      <c r="S308" s="146"/>
      <c r="T308" s="279" t="s">
        <v>5085</v>
      </c>
      <c r="U308" s="279" t="s">
        <v>5026</v>
      </c>
      <c r="W308" s="25"/>
      <c r="X308" s="25"/>
      <c r="AA308"/>
      <c r="AB308"/>
      <c r="AC308" s="272"/>
      <c r="AD308" s="40"/>
    </row>
    <row r="309" spans="6:30" ht="10.5" customHeight="1">
      <c r="F309" s="294"/>
      <c r="G309" s="578" t="s">
        <v>5032</v>
      </c>
      <c r="H309" s="578" t="s">
        <v>4855</v>
      </c>
      <c r="I309" s="582" t="s">
        <v>5390</v>
      </c>
      <c r="J309" s="579" t="s">
        <v>4690</v>
      </c>
      <c r="K309" s="580" t="s">
        <v>5585</v>
      </c>
      <c r="L309" s="581" t="s">
        <v>4858</v>
      </c>
      <c r="M309" s="1346" t="s">
        <v>4688</v>
      </c>
      <c r="N309" s="581" t="s">
        <v>2057</v>
      </c>
      <c r="O309" s="721" t="s">
        <v>5586</v>
      </c>
      <c r="P309" s="150" t="s">
        <v>5587</v>
      </c>
      <c r="Q309" s="150"/>
      <c r="R309" s="98"/>
      <c r="S309" s="146"/>
      <c r="T309" s="279" t="s">
        <v>5588</v>
      </c>
      <c r="U309" s="279" t="s">
        <v>5543</v>
      </c>
      <c r="W309" s="25"/>
      <c r="X309" s="25"/>
      <c r="AA309"/>
      <c r="AB309"/>
      <c r="AC309" s="272"/>
      <c r="AD309" s="40"/>
    </row>
    <row r="310" spans="6:30" ht="10.5" customHeight="1">
      <c r="F310" s="294"/>
      <c r="G310" s="578" t="s">
        <v>5589</v>
      </c>
      <c r="H310" s="578" t="s">
        <v>4855</v>
      </c>
      <c r="I310" s="582" t="s">
        <v>4888</v>
      </c>
      <c r="J310" s="582" t="s">
        <v>4689</v>
      </c>
      <c r="K310" s="580" t="s">
        <v>4925</v>
      </c>
      <c r="L310" s="581" t="s">
        <v>4879</v>
      </c>
      <c r="M310" s="1346" t="s">
        <v>4688</v>
      </c>
      <c r="N310" s="581" t="s">
        <v>4888</v>
      </c>
      <c r="O310" s="721" t="s">
        <v>5590</v>
      </c>
      <c r="P310" s="150" t="s">
        <v>5591</v>
      </c>
      <c r="Q310" s="150"/>
      <c r="R310" s="98"/>
      <c r="S310" s="146"/>
      <c r="T310" s="279" t="s">
        <v>5592</v>
      </c>
      <c r="U310" s="279" t="s">
        <v>5480</v>
      </c>
      <c r="W310" s="25"/>
      <c r="X310" s="25"/>
      <c r="AA310"/>
      <c r="AB310"/>
      <c r="AC310" s="272"/>
      <c r="AD310" s="40"/>
    </row>
    <row r="311" spans="6:30" ht="10.5" customHeight="1">
      <c r="F311" s="294"/>
      <c r="G311" s="578" t="s">
        <v>5181</v>
      </c>
      <c r="H311" s="578" t="s">
        <v>4894</v>
      </c>
      <c r="I311" s="582" t="s">
        <v>5395</v>
      </c>
      <c r="J311" s="582" t="s">
        <v>4690</v>
      </c>
      <c r="K311" s="580" t="s">
        <v>5593</v>
      </c>
      <c r="L311" s="581" t="s">
        <v>4858</v>
      </c>
      <c r="M311" s="1346" t="s">
        <v>4688</v>
      </c>
      <c r="N311" s="581" t="s">
        <v>4897</v>
      </c>
      <c r="O311" s="721" t="s">
        <v>5594</v>
      </c>
      <c r="P311" s="150" t="s">
        <v>5595</v>
      </c>
      <c r="Q311" s="150"/>
      <c r="R311" s="98"/>
      <c r="S311" s="146"/>
      <c r="T311" s="279" t="s">
        <v>5596</v>
      </c>
      <c r="U311" s="279" t="s">
        <v>5416</v>
      </c>
      <c r="W311" s="25"/>
      <c r="X311" s="25"/>
      <c r="AA311"/>
      <c r="AB311"/>
      <c r="AC311" s="272"/>
      <c r="AD311" s="40"/>
    </row>
    <row r="312" spans="6:30" ht="10.5" customHeight="1">
      <c r="F312" s="294"/>
      <c r="G312" s="578" t="s">
        <v>119</v>
      </c>
      <c r="H312" s="578" t="s">
        <v>4855</v>
      </c>
      <c r="I312" s="579" t="s">
        <v>5400</v>
      </c>
      <c r="J312" s="582" t="s">
        <v>4690</v>
      </c>
      <c r="K312" s="580" t="s">
        <v>5597</v>
      </c>
      <c r="L312" s="581" t="s">
        <v>4858</v>
      </c>
      <c r="M312" s="1346" t="s">
        <v>4688</v>
      </c>
      <c r="N312" s="581" t="s">
        <v>4903</v>
      </c>
      <c r="O312" s="721" t="s">
        <v>5598</v>
      </c>
      <c r="P312" s="150" t="s">
        <v>5599</v>
      </c>
      <c r="Q312" s="150"/>
      <c r="R312" s="98"/>
      <c r="S312" s="146"/>
      <c r="T312" s="279" t="s">
        <v>5600</v>
      </c>
      <c r="U312" s="279" t="s">
        <v>5188</v>
      </c>
      <c r="W312" s="25"/>
      <c r="X312" s="25"/>
      <c r="AA312"/>
      <c r="AB312"/>
      <c r="AC312" s="272"/>
      <c r="AD312" s="40"/>
    </row>
    <row r="313" spans="6:30" ht="10.5" customHeight="1">
      <c r="F313" s="294"/>
      <c r="G313" s="578" t="s">
        <v>92</v>
      </c>
      <c r="H313" s="578" t="s">
        <v>4894</v>
      </c>
      <c r="I313" s="582" t="s">
        <v>4981</v>
      </c>
      <c r="J313" s="579" t="s">
        <v>4689</v>
      </c>
      <c r="K313" s="580" t="s">
        <v>4998</v>
      </c>
      <c r="L313" s="581" t="s">
        <v>4879</v>
      </c>
      <c r="M313" s="1346" t="s">
        <v>4688</v>
      </c>
      <c r="N313" s="581" t="s">
        <v>4981</v>
      </c>
      <c r="O313" s="721" t="s">
        <v>5601</v>
      </c>
      <c r="P313" s="150" t="s">
        <v>5602</v>
      </c>
      <c r="Q313" s="150"/>
      <c r="R313" s="98"/>
      <c r="S313" s="146"/>
      <c r="T313" s="279" t="s">
        <v>5603</v>
      </c>
      <c r="U313" s="279" t="s">
        <v>5016</v>
      </c>
      <c r="W313" s="25"/>
      <c r="X313" s="25"/>
      <c r="AA313"/>
      <c r="AB313"/>
      <c r="AC313" s="272"/>
      <c r="AD313" s="40"/>
    </row>
    <row r="314" spans="6:30" ht="10.5" customHeight="1">
      <c r="F314" s="294"/>
      <c r="G314" s="578" t="s">
        <v>5150</v>
      </c>
      <c r="H314" s="578" t="s">
        <v>4894</v>
      </c>
      <c r="I314" s="582" t="s">
        <v>4884</v>
      </c>
      <c r="J314" s="582" t="s">
        <v>4689</v>
      </c>
      <c r="K314" s="580" t="s">
        <v>4902</v>
      </c>
      <c r="L314" s="581" t="s">
        <v>4879</v>
      </c>
      <c r="M314" s="1346" t="s">
        <v>4685</v>
      </c>
      <c r="N314" s="581" t="s">
        <v>4903</v>
      </c>
      <c r="O314" s="721" t="s">
        <v>5604</v>
      </c>
      <c r="P314" s="150" t="s">
        <v>5605</v>
      </c>
      <c r="Q314" s="150"/>
      <c r="R314" s="98"/>
      <c r="S314" s="146"/>
      <c r="T314" s="279" t="s">
        <v>5606</v>
      </c>
      <c r="U314" s="279" t="s">
        <v>5493</v>
      </c>
      <c r="W314" s="25"/>
      <c r="X314" s="25"/>
      <c r="AA314"/>
      <c r="AB314"/>
      <c r="AC314" s="272"/>
      <c r="AD314" s="40"/>
    </row>
    <row r="315" spans="6:30" ht="10.5" customHeight="1">
      <c r="F315" s="294"/>
      <c r="G315" s="578" t="s">
        <v>97</v>
      </c>
      <c r="H315" s="578" t="s">
        <v>4855</v>
      </c>
      <c r="I315" s="582" t="s">
        <v>5411</v>
      </c>
      <c r="J315" s="582" t="s">
        <v>4690</v>
      </c>
      <c r="K315" s="580" t="s">
        <v>5607</v>
      </c>
      <c r="L315" s="581" t="s">
        <v>4858</v>
      </c>
      <c r="M315" s="1346" t="s">
        <v>4688</v>
      </c>
      <c r="N315" s="581" t="s">
        <v>2143</v>
      </c>
      <c r="O315" s="721" t="s">
        <v>5608</v>
      </c>
      <c r="P315" s="150" t="s">
        <v>5609</v>
      </c>
      <c r="Q315" s="150"/>
      <c r="R315" s="98"/>
      <c r="S315" s="146"/>
      <c r="T315" s="279" t="s">
        <v>5610</v>
      </c>
      <c r="U315" s="279" t="s">
        <v>5133</v>
      </c>
      <c r="W315" s="25"/>
      <c r="X315" s="25"/>
      <c r="AA315"/>
      <c r="AB315"/>
      <c r="AC315" s="272"/>
      <c r="AD315" s="40"/>
    </row>
    <row r="316" spans="6:30" ht="10.5" customHeight="1">
      <c r="F316" s="294"/>
      <c r="G316" s="578" t="s">
        <v>5361</v>
      </c>
      <c r="H316" s="578" t="s">
        <v>4894</v>
      </c>
      <c r="I316" s="582" t="s">
        <v>5421</v>
      </c>
      <c r="J316" s="582" t="s">
        <v>4690</v>
      </c>
      <c r="K316" s="580" t="s">
        <v>5611</v>
      </c>
      <c r="L316" s="581" t="s">
        <v>4858</v>
      </c>
      <c r="M316" s="1346" t="s">
        <v>4688</v>
      </c>
      <c r="N316" s="581" t="s">
        <v>4963</v>
      </c>
      <c r="O316" s="721" t="s">
        <v>5612</v>
      </c>
      <c r="P316" s="150" t="s">
        <v>5613</v>
      </c>
      <c r="Q316" s="150"/>
      <c r="R316" s="98"/>
      <c r="S316" s="146"/>
      <c r="T316" s="279" t="s">
        <v>5614</v>
      </c>
      <c r="U316" s="279" t="s">
        <v>5372</v>
      </c>
      <c r="W316" s="25"/>
      <c r="X316" s="25"/>
      <c r="AA316"/>
      <c r="AB316"/>
      <c r="AC316" s="272"/>
      <c r="AD316" s="40"/>
    </row>
    <row r="317" spans="6:30" ht="10.5" customHeight="1">
      <c r="F317" s="294"/>
      <c r="G317" s="578" t="s">
        <v>2147</v>
      </c>
      <c r="H317" s="578" t="s">
        <v>4855</v>
      </c>
      <c r="I317" s="582" t="s">
        <v>5426</v>
      </c>
      <c r="J317" s="582" t="s">
        <v>4690</v>
      </c>
      <c r="K317" s="580" t="s">
        <v>5615</v>
      </c>
      <c r="L317" s="581" t="s">
        <v>4858</v>
      </c>
      <c r="M317" s="1346" t="s">
        <v>4688</v>
      </c>
      <c r="N317" s="581" t="s">
        <v>4888</v>
      </c>
      <c r="O317" s="721" t="s">
        <v>5616</v>
      </c>
      <c r="P317" s="150" t="s">
        <v>5617</v>
      </c>
      <c r="Q317" s="150"/>
      <c r="R317" s="98"/>
      <c r="S317" s="146"/>
      <c r="T317" s="279" t="s">
        <v>5618</v>
      </c>
      <c r="U317" s="279" t="s">
        <v>105</v>
      </c>
      <c r="W317" s="25"/>
      <c r="X317" s="25"/>
      <c r="AA317"/>
      <c r="AB317"/>
      <c r="AC317" s="272"/>
      <c r="AD317" s="40"/>
    </row>
    <row r="318" spans="6:30" ht="10.5" customHeight="1">
      <c r="F318" s="294"/>
      <c r="G318" s="578" t="s">
        <v>5619</v>
      </c>
      <c r="H318" s="578" t="s">
        <v>4855</v>
      </c>
      <c r="I318" s="582" t="s">
        <v>5430</v>
      </c>
      <c r="J318" s="582" t="s">
        <v>4690</v>
      </c>
      <c r="K318" s="580" t="s">
        <v>5620</v>
      </c>
      <c r="L318" s="581" t="s">
        <v>4858</v>
      </c>
      <c r="M318" s="1346" t="s">
        <v>4688</v>
      </c>
      <c r="N318" s="581" t="s">
        <v>4859</v>
      </c>
      <c r="O318" s="721" t="s">
        <v>5621</v>
      </c>
      <c r="P318" s="150" t="s">
        <v>5622</v>
      </c>
      <c r="Q318" s="150"/>
      <c r="R318" s="98"/>
      <c r="S318" s="146"/>
      <c r="T318" s="279" t="s">
        <v>5623</v>
      </c>
      <c r="U318" s="279" t="s">
        <v>5256</v>
      </c>
      <c r="W318" s="25"/>
      <c r="X318" s="25"/>
      <c r="AA318"/>
      <c r="AB318"/>
      <c r="AC318" s="272"/>
      <c r="AD318" s="40"/>
    </row>
    <row r="319" spans="6:30" ht="10.5" customHeight="1">
      <c r="F319" s="294"/>
      <c r="G319" s="578" t="s">
        <v>5624</v>
      </c>
      <c r="H319" s="578" t="s">
        <v>4855</v>
      </c>
      <c r="I319" s="582" t="s">
        <v>5435</v>
      </c>
      <c r="J319" s="582" t="s">
        <v>4690</v>
      </c>
      <c r="K319" s="580" t="s">
        <v>5625</v>
      </c>
      <c r="L319" s="581" t="s">
        <v>4858</v>
      </c>
      <c r="M319" s="1346" t="s">
        <v>4688</v>
      </c>
      <c r="N319" s="581" t="s">
        <v>5015</v>
      </c>
      <c r="O319" s="721" t="s">
        <v>5626</v>
      </c>
      <c r="P319" s="150" t="s">
        <v>5627</v>
      </c>
      <c r="Q319" s="150"/>
      <c r="R319" s="98"/>
      <c r="S319" s="146"/>
      <c r="T319" s="279" t="s">
        <v>2097</v>
      </c>
      <c r="U319" s="279" t="s">
        <v>5515</v>
      </c>
      <c r="W319" s="25"/>
      <c r="X319" s="25"/>
      <c r="AA319"/>
      <c r="AB319"/>
      <c r="AC319" s="272"/>
      <c r="AD319" s="40"/>
    </row>
    <row r="320" spans="6:30" ht="10.5" customHeight="1">
      <c r="F320" s="294"/>
      <c r="G320" s="578" t="s">
        <v>4910</v>
      </c>
      <c r="H320" s="578" t="s">
        <v>4855</v>
      </c>
      <c r="I320" s="582" t="s">
        <v>5439</v>
      </c>
      <c r="J320" s="582" t="s">
        <v>4690</v>
      </c>
      <c r="K320" s="580" t="s">
        <v>5628</v>
      </c>
      <c r="L320" s="581" t="s">
        <v>4858</v>
      </c>
      <c r="M320" s="1346" t="s">
        <v>4688</v>
      </c>
      <c r="N320" s="581" t="s">
        <v>4888</v>
      </c>
      <c r="O320" s="721" t="s">
        <v>5629</v>
      </c>
      <c r="P320" s="150" t="s">
        <v>5630</v>
      </c>
      <c r="Q320" s="150"/>
      <c r="R320" s="98"/>
      <c r="S320" s="146"/>
      <c r="T320" s="279" t="s">
        <v>5631</v>
      </c>
      <c r="U320" s="279" t="s">
        <v>5135</v>
      </c>
      <c r="W320" s="25"/>
      <c r="X320" s="25"/>
      <c r="AA320"/>
      <c r="AB320"/>
      <c r="AC320" s="272"/>
      <c r="AD320" s="40"/>
    </row>
    <row r="321" spans="6:30" ht="10.5" customHeight="1">
      <c r="F321" s="294"/>
      <c r="G321" s="578" t="s">
        <v>5498</v>
      </c>
      <c r="H321" s="578" t="s">
        <v>4894</v>
      </c>
      <c r="I321" s="582" t="s">
        <v>5444</v>
      </c>
      <c r="J321" s="582" t="s">
        <v>4690</v>
      </c>
      <c r="K321" s="580" t="s">
        <v>5632</v>
      </c>
      <c r="L321" s="581" t="s">
        <v>4858</v>
      </c>
      <c r="M321" s="1346" t="s">
        <v>4688</v>
      </c>
      <c r="N321" s="581" t="s">
        <v>4897</v>
      </c>
      <c r="O321" s="721" t="s">
        <v>5633</v>
      </c>
      <c r="P321" s="150" t="s">
        <v>5634</v>
      </c>
      <c r="Q321" s="150"/>
      <c r="R321" s="98"/>
      <c r="S321" s="146"/>
      <c r="T321" s="279" t="s">
        <v>5635</v>
      </c>
      <c r="U321" s="279" t="s">
        <v>2114</v>
      </c>
      <c r="W321" s="25"/>
      <c r="X321" s="25"/>
      <c r="AA321"/>
      <c r="AB321"/>
      <c r="AC321" s="272"/>
      <c r="AD321" s="40"/>
    </row>
    <row r="322" spans="6:30" ht="10.5" customHeight="1">
      <c r="F322" s="294"/>
      <c r="G322" s="578" t="s">
        <v>5515</v>
      </c>
      <c r="H322" s="578" t="s">
        <v>4894</v>
      </c>
      <c r="I322" s="579" t="s">
        <v>2097</v>
      </c>
      <c r="J322" s="582" t="s">
        <v>4689</v>
      </c>
      <c r="K322" s="580" t="s">
        <v>5636</v>
      </c>
      <c r="L322" s="581" t="s">
        <v>4879</v>
      </c>
      <c r="M322" s="1346" t="s">
        <v>4685</v>
      </c>
      <c r="N322" s="581" t="s">
        <v>4981</v>
      </c>
      <c r="O322" s="721" t="s">
        <v>5637</v>
      </c>
      <c r="P322" s="150" t="s">
        <v>5638</v>
      </c>
      <c r="Q322" s="150"/>
      <c r="R322" s="98"/>
      <c r="S322" s="146"/>
      <c r="T322" s="146" t="s">
        <v>5639</v>
      </c>
      <c r="U322" s="146" t="s">
        <v>4942</v>
      </c>
      <c r="W322" s="25"/>
      <c r="X322" s="25"/>
      <c r="AA322"/>
      <c r="AB322"/>
      <c r="AC322" s="272"/>
      <c r="AD322" s="40"/>
    </row>
    <row r="323" spans="6:30" ht="10.5" customHeight="1">
      <c r="F323" s="294"/>
      <c r="G323" s="578" t="s">
        <v>4869</v>
      </c>
      <c r="H323" s="578" t="s">
        <v>4855</v>
      </c>
      <c r="I323" s="582" t="s">
        <v>5448</v>
      </c>
      <c r="J323" s="579" t="s">
        <v>4690</v>
      </c>
      <c r="K323" s="580" t="s">
        <v>5640</v>
      </c>
      <c r="L323" s="581" t="s">
        <v>4858</v>
      </c>
      <c r="M323" s="1346" t="s">
        <v>4688</v>
      </c>
      <c r="N323" s="581" t="s">
        <v>2057</v>
      </c>
      <c r="O323" s="721" t="s">
        <v>5641</v>
      </c>
      <c r="P323" s="150" t="s">
        <v>5642</v>
      </c>
      <c r="Q323" s="150"/>
      <c r="R323" s="98"/>
      <c r="S323" s="146"/>
      <c r="T323" s="279" t="s">
        <v>5643</v>
      </c>
      <c r="U323" s="279" t="s">
        <v>5396</v>
      </c>
      <c r="W323" s="25"/>
      <c r="X323" s="25"/>
      <c r="AA323"/>
      <c r="AB323"/>
      <c r="AC323" s="40"/>
      <c r="AD323" s="40"/>
    </row>
    <row r="324" spans="6:30" ht="10.5" customHeight="1">
      <c r="F324" s="294"/>
      <c r="G324" s="578" t="s">
        <v>5644</v>
      </c>
      <c r="H324" s="578" t="s">
        <v>4894</v>
      </c>
      <c r="I324" s="582" t="s">
        <v>5452</v>
      </c>
      <c r="J324" s="582" t="s">
        <v>4690</v>
      </c>
      <c r="K324" s="580" t="s">
        <v>5645</v>
      </c>
      <c r="L324" s="581" t="s">
        <v>4858</v>
      </c>
      <c r="M324" s="1346" t="s">
        <v>4688</v>
      </c>
      <c r="N324" s="581" t="s">
        <v>4963</v>
      </c>
      <c r="O324" s="721" t="s">
        <v>5646</v>
      </c>
      <c r="P324" s="150" t="s">
        <v>5647</v>
      </c>
      <c r="Q324" s="150"/>
      <c r="R324" s="98"/>
      <c r="S324" s="146"/>
      <c r="T324" s="279" t="s">
        <v>5648</v>
      </c>
      <c r="U324" s="279" t="s">
        <v>140</v>
      </c>
      <c r="W324" s="25"/>
      <c r="X324" s="25"/>
      <c r="AA324"/>
      <c r="AB324"/>
      <c r="AC324" s="272"/>
      <c r="AD324" s="40"/>
    </row>
    <row r="325" spans="6:30" ht="10.5" customHeight="1">
      <c r="F325" s="294"/>
      <c r="G325" s="578" t="s">
        <v>4942</v>
      </c>
      <c r="H325" s="578" t="s">
        <v>4855</v>
      </c>
      <c r="I325" s="582" t="s">
        <v>5455</v>
      </c>
      <c r="J325" s="582" t="s">
        <v>4690</v>
      </c>
      <c r="K325" s="580" t="s">
        <v>5649</v>
      </c>
      <c r="L325" s="581" t="s">
        <v>4858</v>
      </c>
      <c r="M325" s="1346" t="s">
        <v>4688</v>
      </c>
      <c r="N325" s="581" t="s">
        <v>4888</v>
      </c>
      <c r="O325" s="721" t="s">
        <v>5650</v>
      </c>
      <c r="P325" s="150" t="s">
        <v>5651</v>
      </c>
      <c r="Q325" s="150"/>
      <c r="R325" s="98"/>
      <c r="S325" s="146"/>
      <c r="T325" s="279" t="s">
        <v>5652</v>
      </c>
      <c r="U325" s="279" t="s">
        <v>2147</v>
      </c>
      <c r="W325" s="25"/>
      <c r="X325" s="25"/>
      <c r="AA325"/>
      <c r="AB325"/>
      <c r="AC325" s="272"/>
      <c r="AD325" s="40"/>
    </row>
    <row r="326" spans="6:30" ht="10.5" customHeight="1">
      <c r="F326" s="159"/>
      <c r="G326" s="578" t="s">
        <v>5653</v>
      </c>
      <c r="H326" s="578" t="s">
        <v>4855</v>
      </c>
      <c r="I326" s="582" t="s">
        <v>2057</v>
      </c>
      <c r="J326" s="582" t="s">
        <v>4689</v>
      </c>
      <c r="K326" s="580" t="s">
        <v>5126</v>
      </c>
      <c r="L326" s="581" t="s">
        <v>4879</v>
      </c>
      <c r="M326" s="1346" t="s">
        <v>4688</v>
      </c>
      <c r="N326" s="581" t="s">
        <v>2057</v>
      </c>
      <c r="O326" s="721" t="s">
        <v>5654</v>
      </c>
      <c r="P326" s="150" t="s">
        <v>5655</v>
      </c>
      <c r="Q326" s="150"/>
      <c r="R326" s="98"/>
      <c r="S326" s="146"/>
      <c r="T326" s="279" t="s">
        <v>5099</v>
      </c>
      <c r="U326" s="279" t="s">
        <v>5273</v>
      </c>
      <c r="W326" s="25"/>
      <c r="X326" s="25"/>
      <c r="AA326"/>
      <c r="AB326"/>
      <c r="AC326" s="272"/>
      <c r="AD326" s="40"/>
    </row>
    <row r="327" spans="6:30" ht="10.5" customHeight="1">
      <c r="P327" s="150" t="s">
        <v>5656</v>
      </c>
      <c r="Q327" s="150"/>
      <c r="R327" s="98"/>
      <c r="S327" s="146"/>
      <c r="T327" s="279" t="s">
        <v>5657</v>
      </c>
      <c r="U327" s="279" t="s">
        <v>5099</v>
      </c>
      <c r="W327" s="25"/>
      <c r="X327" s="25"/>
      <c r="AA327"/>
      <c r="AB327"/>
      <c r="AC327" s="272"/>
      <c r="AD327" s="40"/>
    </row>
    <row r="328" spans="6:30" ht="10.5" customHeight="1">
      <c r="P328" s="150" t="s">
        <v>5658</v>
      </c>
      <c r="Q328" s="150"/>
      <c r="R328" s="98"/>
      <c r="S328" s="146"/>
      <c r="T328" s="146" t="s">
        <v>5659</v>
      </c>
      <c r="U328" s="146" t="s">
        <v>4980</v>
      </c>
      <c r="W328" s="25"/>
      <c r="X328" s="25"/>
      <c r="AA328"/>
      <c r="AB328"/>
      <c r="AC328" s="272"/>
      <c r="AD328" s="40"/>
    </row>
    <row r="329" spans="6:30" ht="10.5" customHeight="1">
      <c r="P329" s="150" t="s">
        <v>5660</v>
      </c>
      <c r="Q329" s="150"/>
      <c r="R329" s="98"/>
      <c r="S329" s="146"/>
      <c r="T329" s="279" t="s">
        <v>5661</v>
      </c>
      <c r="U329" s="279" t="s">
        <v>5391</v>
      </c>
      <c r="W329" s="25"/>
      <c r="X329" s="25"/>
      <c r="AA329"/>
      <c r="AB329"/>
      <c r="AC329" s="40"/>
      <c r="AD329" s="40"/>
    </row>
    <row r="330" spans="6:30" ht="10.5" customHeight="1">
      <c r="P330" s="150" t="s">
        <v>5662</v>
      </c>
      <c r="Q330" s="150"/>
      <c r="R330" s="98"/>
      <c r="S330" s="146"/>
      <c r="T330" s="279" t="s">
        <v>5047</v>
      </c>
      <c r="U330" s="279" t="s">
        <v>84</v>
      </c>
      <c r="W330" s="25"/>
      <c r="X330" s="25"/>
      <c r="AA330"/>
      <c r="AB330"/>
      <c r="AC330" s="272"/>
      <c r="AD330" s="40"/>
    </row>
    <row r="331" spans="6:30" ht="10.5" customHeight="1">
      <c r="P331" s="150" t="s">
        <v>5663</v>
      </c>
      <c r="Q331" s="150"/>
      <c r="R331" s="98"/>
      <c r="S331" s="146"/>
      <c r="T331" s="279" t="s">
        <v>96</v>
      </c>
      <c r="U331" s="279" t="s">
        <v>97</v>
      </c>
      <c r="W331" s="25"/>
      <c r="X331" s="25"/>
      <c r="AA331"/>
      <c r="AB331"/>
      <c r="AC331" s="272"/>
      <c r="AD331" s="40"/>
    </row>
    <row r="332" spans="6:30" ht="10.5" customHeight="1">
      <c r="P332" s="150" t="s">
        <v>5664</v>
      </c>
      <c r="Q332" s="150"/>
      <c r="R332" s="98"/>
      <c r="S332" s="146"/>
      <c r="T332" s="279" t="s">
        <v>5665</v>
      </c>
      <c r="U332" s="279" t="s">
        <v>2147</v>
      </c>
      <c r="W332" s="25"/>
      <c r="X332" s="25"/>
      <c r="AA332"/>
      <c r="AB332"/>
      <c r="AC332" s="272"/>
      <c r="AD332" s="40"/>
    </row>
    <row r="333" spans="6:30" ht="10.5" customHeight="1">
      <c r="P333" s="150" t="s">
        <v>5666</v>
      </c>
      <c r="Q333" s="150"/>
      <c r="R333" s="98"/>
      <c r="S333" s="146"/>
      <c r="T333" s="279" t="s">
        <v>5667</v>
      </c>
      <c r="U333" s="279" t="s">
        <v>152</v>
      </c>
      <c r="W333" s="25"/>
      <c r="X333" s="25"/>
      <c r="AA333"/>
      <c r="AB333"/>
      <c r="AC333" s="272"/>
      <c r="AD333" s="40"/>
    </row>
    <row r="334" spans="6:30" ht="10.5" customHeight="1">
      <c r="P334" s="150" t="s">
        <v>5668</v>
      </c>
      <c r="Q334" s="150"/>
      <c r="R334" s="98"/>
      <c r="S334" s="146"/>
      <c r="T334" s="279" t="s">
        <v>5669</v>
      </c>
      <c r="U334" s="279" t="s">
        <v>5301</v>
      </c>
      <c r="W334" s="25"/>
      <c r="X334" s="25"/>
      <c r="AA334"/>
      <c r="AB334"/>
      <c r="AC334" s="272"/>
      <c r="AD334" s="40"/>
    </row>
    <row r="335" spans="6:30" ht="10.5" customHeight="1">
      <c r="P335" s="150" t="s">
        <v>5670</v>
      </c>
      <c r="Q335" s="150"/>
      <c r="R335" s="98"/>
      <c r="S335" s="146"/>
      <c r="T335" s="146" t="s">
        <v>5671</v>
      </c>
      <c r="U335" s="146" t="s">
        <v>5152</v>
      </c>
      <c r="W335" s="25"/>
      <c r="X335" s="25"/>
      <c r="AA335"/>
      <c r="AB335"/>
      <c r="AC335" s="272"/>
      <c r="AD335" s="40"/>
    </row>
    <row r="336" spans="6:30" ht="10.5" customHeight="1">
      <c r="P336" s="150" t="s">
        <v>5672</v>
      </c>
      <c r="Q336" s="150"/>
      <c r="R336" s="98"/>
      <c r="S336" s="146"/>
      <c r="T336" s="279" t="s">
        <v>5673</v>
      </c>
      <c r="U336" s="279" t="s">
        <v>5339</v>
      </c>
      <c r="W336" s="25"/>
      <c r="X336" s="25"/>
      <c r="AA336"/>
      <c r="AB336"/>
      <c r="AC336" s="40"/>
      <c r="AD336" s="40"/>
    </row>
    <row r="337" spans="16:30" ht="10.5" customHeight="1">
      <c r="P337" s="150" t="s">
        <v>5674</v>
      </c>
      <c r="Q337" s="150"/>
      <c r="R337" s="98"/>
      <c r="S337" s="146"/>
      <c r="T337" s="279" t="s">
        <v>5675</v>
      </c>
      <c r="U337" s="279" t="s">
        <v>5488</v>
      </c>
      <c r="W337" s="25"/>
      <c r="X337" s="25"/>
      <c r="AA337"/>
      <c r="AB337"/>
      <c r="AC337" s="272"/>
      <c r="AD337" s="40"/>
    </row>
    <row r="338" spans="16:30" ht="10.5" customHeight="1">
      <c r="P338" s="150" t="s">
        <v>5676</v>
      </c>
      <c r="Q338" s="150"/>
      <c r="R338" s="98"/>
      <c r="S338" s="146"/>
      <c r="T338" s="279" t="s">
        <v>98</v>
      </c>
      <c r="U338" s="279" t="s">
        <v>99</v>
      </c>
      <c r="W338" s="25"/>
      <c r="X338" s="25"/>
      <c r="AA338"/>
      <c r="AB338"/>
      <c r="AC338" s="272"/>
      <c r="AD338" s="40"/>
    </row>
    <row r="339" spans="16:30" ht="10.5" customHeight="1">
      <c r="P339" s="150" t="s">
        <v>5677</v>
      </c>
      <c r="Q339" s="150"/>
      <c r="R339" s="98"/>
      <c r="S339" s="146"/>
      <c r="T339" s="310" t="s">
        <v>5678</v>
      </c>
      <c r="U339" s="279" t="s">
        <v>5063</v>
      </c>
      <c r="W339" s="25"/>
      <c r="X339" s="25"/>
      <c r="AA339"/>
      <c r="AB339"/>
      <c r="AC339" s="272"/>
      <c r="AD339" s="40"/>
    </row>
    <row r="340" spans="16:30" ht="10.5" customHeight="1">
      <c r="P340" s="150" t="s">
        <v>5679</v>
      </c>
      <c r="Q340" s="150"/>
      <c r="R340" s="98"/>
      <c r="S340" s="146"/>
      <c r="T340" s="279" t="s">
        <v>5680</v>
      </c>
      <c r="U340" s="279" t="s">
        <v>5519</v>
      </c>
      <c r="W340" s="25"/>
      <c r="X340" s="25"/>
      <c r="AA340"/>
      <c r="AB340"/>
      <c r="AC340" s="519"/>
      <c r="AD340" s="40"/>
    </row>
    <row r="341" spans="16:30" ht="10.5" customHeight="1">
      <c r="P341" s="150" t="s">
        <v>5681</v>
      </c>
      <c r="Q341" s="150"/>
      <c r="R341" s="98"/>
      <c r="S341" s="146"/>
      <c r="T341" s="279" t="s">
        <v>5682</v>
      </c>
      <c r="U341" s="279" t="s">
        <v>5120</v>
      </c>
      <c r="W341" s="25"/>
      <c r="X341" s="25"/>
      <c r="AA341"/>
      <c r="AB341"/>
      <c r="AC341" s="272"/>
      <c r="AD341" s="40"/>
    </row>
    <row r="342" spans="16:30" ht="10.5" customHeight="1">
      <c r="P342" s="150" t="s">
        <v>5683</v>
      </c>
      <c r="Q342" s="150"/>
      <c r="R342" s="98"/>
      <c r="S342" s="146"/>
      <c r="T342" s="279" t="s">
        <v>5684</v>
      </c>
      <c r="U342" s="279" t="s">
        <v>84</v>
      </c>
      <c r="W342" s="25"/>
      <c r="X342" s="25"/>
      <c r="AA342"/>
      <c r="AB342"/>
      <c r="AC342" s="272"/>
      <c r="AD342" s="40"/>
    </row>
    <row r="343" spans="16:30" ht="10.5" customHeight="1">
      <c r="P343" s="150" t="s">
        <v>5685</v>
      </c>
      <c r="Q343" s="150"/>
      <c r="R343" s="98"/>
      <c r="S343" s="146"/>
      <c r="T343" s="146" t="s">
        <v>134</v>
      </c>
      <c r="U343" s="146" t="s">
        <v>4973</v>
      </c>
      <c r="W343" s="25"/>
      <c r="X343" s="25"/>
      <c r="AA343"/>
      <c r="AB343"/>
      <c r="AC343" s="272"/>
      <c r="AD343" s="40"/>
    </row>
    <row r="344" spans="16:30" ht="10.5" customHeight="1">
      <c r="P344" s="150" t="s">
        <v>5686</v>
      </c>
      <c r="Q344" s="150"/>
      <c r="R344" s="98"/>
      <c r="S344" s="146"/>
      <c r="T344" s="146" t="s">
        <v>5687</v>
      </c>
      <c r="U344" s="146" t="s">
        <v>134</v>
      </c>
      <c r="W344" s="25"/>
      <c r="X344" s="25"/>
      <c r="AA344"/>
      <c r="AB344"/>
      <c r="AC344" s="40"/>
      <c r="AD344" s="40"/>
    </row>
    <row r="345" spans="16:30" ht="10.5" customHeight="1">
      <c r="P345" s="150" t="s">
        <v>5688</v>
      </c>
      <c r="Q345" s="150"/>
      <c r="R345" s="98"/>
      <c r="S345" s="146"/>
      <c r="T345" s="279" t="s">
        <v>100</v>
      </c>
      <c r="U345" s="279" t="s">
        <v>84</v>
      </c>
      <c r="W345" s="25"/>
      <c r="X345" s="25"/>
      <c r="AA345"/>
      <c r="AB345"/>
      <c r="AC345" s="40"/>
      <c r="AD345" s="40"/>
    </row>
    <row r="346" spans="16:30" ht="10.5" customHeight="1">
      <c r="P346" s="150" t="s">
        <v>5689</v>
      </c>
      <c r="Q346" s="150"/>
      <c r="R346" s="98"/>
      <c r="S346" s="146"/>
      <c r="T346" s="279" t="s">
        <v>5690</v>
      </c>
      <c r="U346" s="279" t="s">
        <v>5014</v>
      </c>
      <c r="W346" s="25"/>
      <c r="X346" s="25"/>
      <c r="AA346"/>
      <c r="AB346"/>
      <c r="AC346" s="272"/>
      <c r="AD346" s="40"/>
    </row>
    <row r="347" spans="16:30" ht="10.5" customHeight="1">
      <c r="P347" s="150" t="s">
        <v>5691</v>
      </c>
      <c r="Q347" s="150"/>
      <c r="R347" s="98"/>
      <c r="S347" s="146"/>
      <c r="T347" s="279" t="s">
        <v>2101</v>
      </c>
      <c r="U347" s="279" t="s">
        <v>5339</v>
      </c>
      <c r="W347" s="25"/>
      <c r="X347" s="25"/>
      <c r="AA347"/>
      <c r="AB347"/>
      <c r="AC347" s="272"/>
      <c r="AD347" s="40"/>
    </row>
    <row r="348" spans="16:30" ht="10.5" customHeight="1">
      <c r="P348" s="150" t="s">
        <v>5692</v>
      </c>
      <c r="Q348" s="150"/>
      <c r="R348" s="98"/>
      <c r="S348" s="146"/>
      <c r="T348" s="279" t="s">
        <v>5693</v>
      </c>
      <c r="U348" s="279" t="s">
        <v>5339</v>
      </c>
      <c r="W348" s="25"/>
      <c r="X348" s="25"/>
      <c r="AA348"/>
      <c r="AB348"/>
      <c r="AC348" s="272"/>
      <c r="AD348" s="40"/>
    </row>
    <row r="349" spans="16:30" ht="10.5" customHeight="1">
      <c r="P349" s="150" t="s">
        <v>5694</v>
      </c>
      <c r="Q349" s="150"/>
      <c r="R349" s="98"/>
      <c r="S349" s="146"/>
      <c r="T349" s="279" t="s">
        <v>5695</v>
      </c>
      <c r="U349" s="279" t="s">
        <v>5133</v>
      </c>
      <c r="W349" s="25"/>
      <c r="X349" s="25"/>
      <c r="AA349"/>
      <c r="AB349"/>
      <c r="AC349" s="272"/>
      <c r="AD349" s="40"/>
    </row>
    <row r="350" spans="16:30" ht="10.5" customHeight="1">
      <c r="P350" s="150" t="s">
        <v>5696</v>
      </c>
      <c r="Q350" s="150"/>
      <c r="R350" s="98"/>
      <c r="S350" s="146"/>
      <c r="T350" s="279" t="s">
        <v>5697</v>
      </c>
      <c r="U350" s="279" t="s">
        <v>84</v>
      </c>
      <c r="W350" s="25"/>
      <c r="X350" s="25"/>
      <c r="AA350"/>
      <c r="AB350"/>
      <c r="AC350" s="272"/>
      <c r="AD350" s="40"/>
    </row>
    <row r="351" spans="16:30" ht="10.5" customHeight="1">
      <c r="P351" s="150" t="s">
        <v>5698</v>
      </c>
      <c r="Q351" s="150"/>
      <c r="R351" s="98"/>
      <c r="S351" s="146"/>
      <c r="T351" s="279" t="s">
        <v>5699</v>
      </c>
      <c r="U351" s="279" t="s">
        <v>126</v>
      </c>
      <c r="W351" s="25"/>
      <c r="X351" s="25"/>
      <c r="AA351"/>
      <c r="AB351"/>
      <c r="AC351" s="272"/>
      <c r="AD351" s="40"/>
    </row>
    <row r="352" spans="16:30" ht="10.5" customHeight="1">
      <c r="P352" s="150" t="s">
        <v>5700</v>
      </c>
      <c r="Q352" s="150"/>
      <c r="R352" s="98"/>
      <c r="S352" s="146"/>
      <c r="T352" s="279" t="s">
        <v>5701</v>
      </c>
      <c r="U352" s="279" t="s">
        <v>155</v>
      </c>
      <c r="W352" s="25"/>
      <c r="X352" s="25"/>
      <c r="AA352"/>
      <c r="AB352"/>
      <c r="AC352" s="272"/>
      <c r="AD352" s="40"/>
    </row>
    <row r="353" spans="16:30" ht="10.5" customHeight="1">
      <c r="P353" s="150" t="s">
        <v>5702</v>
      </c>
      <c r="Q353" s="150"/>
      <c r="R353" s="98"/>
      <c r="S353" s="146"/>
      <c r="T353" s="279" t="s">
        <v>5703</v>
      </c>
      <c r="U353" s="279" t="s">
        <v>5339</v>
      </c>
      <c r="W353" s="25"/>
      <c r="X353" s="25"/>
      <c r="AA353"/>
      <c r="AB353"/>
      <c r="AC353" s="272"/>
      <c r="AD353" s="40"/>
    </row>
    <row r="354" spans="16:30" ht="10.5" customHeight="1">
      <c r="P354" s="150" t="s">
        <v>5704</v>
      </c>
      <c r="Q354" s="150"/>
      <c r="R354" s="98"/>
      <c r="S354" s="146"/>
      <c r="T354" s="279" t="s">
        <v>5705</v>
      </c>
      <c r="U354" s="279" t="s">
        <v>5202</v>
      </c>
      <c r="W354" s="25"/>
      <c r="X354" s="25"/>
      <c r="AA354"/>
      <c r="AB354"/>
      <c r="AC354" s="272"/>
      <c r="AD354" s="40"/>
    </row>
    <row r="355" spans="16:30" ht="10.5" customHeight="1">
      <c r="P355" s="150" t="s">
        <v>5706</v>
      </c>
      <c r="Q355" s="150"/>
      <c r="R355" s="98"/>
      <c r="S355" s="146"/>
      <c r="T355" s="279" t="s">
        <v>101</v>
      </c>
      <c r="U355" s="279" t="s">
        <v>102</v>
      </c>
      <c r="W355" s="25"/>
      <c r="X355" s="25"/>
      <c r="AA355"/>
      <c r="AB355"/>
      <c r="AC355" s="272"/>
      <c r="AD355" s="40"/>
    </row>
    <row r="356" spans="16:30" ht="10.5" customHeight="1">
      <c r="P356" s="150" t="s">
        <v>5707</v>
      </c>
      <c r="Q356" s="150"/>
      <c r="R356" s="98"/>
      <c r="S356" s="146"/>
      <c r="T356" s="279" t="s">
        <v>103</v>
      </c>
      <c r="U356" s="279" t="s">
        <v>104</v>
      </c>
      <c r="W356" s="25"/>
      <c r="X356" s="25"/>
      <c r="AA356"/>
      <c r="AB356"/>
      <c r="AC356" s="272"/>
      <c r="AD356" s="40"/>
    </row>
    <row r="357" spans="16:30" ht="10.5" customHeight="1">
      <c r="P357" s="150" t="s">
        <v>5708</v>
      </c>
      <c r="Q357" s="150"/>
      <c r="R357" s="98"/>
      <c r="S357" s="146"/>
      <c r="T357" s="279" t="s">
        <v>5709</v>
      </c>
      <c r="U357" s="279" t="s">
        <v>142</v>
      </c>
      <c r="W357" s="25"/>
      <c r="X357" s="25"/>
      <c r="AA357"/>
      <c r="AB357"/>
      <c r="AC357" s="272"/>
      <c r="AD357" s="40"/>
    </row>
    <row r="358" spans="16:30" ht="10.5" customHeight="1">
      <c r="P358" s="150" t="s">
        <v>5710</v>
      </c>
      <c r="Q358" s="150"/>
      <c r="R358" s="98"/>
      <c r="S358" s="146"/>
      <c r="T358" s="279" t="s">
        <v>5711</v>
      </c>
      <c r="U358" s="279" t="s">
        <v>5114</v>
      </c>
      <c r="W358" s="25"/>
      <c r="X358" s="25"/>
      <c r="AA358"/>
      <c r="AB358"/>
      <c r="AC358" s="272"/>
      <c r="AD358" s="40"/>
    </row>
    <row r="359" spans="16:30" ht="10.5" customHeight="1">
      <c r="P359" s="150" t="s">
        <v>5712</v>
      </c>
      <c r="Q359" s="150"/>
      <c r="R359" s="98"/>
      <c r="S359" s="146"/>
      <c r="T359" s="146" t="s">
        <v>5713</v>
      </c>
      <c r="U359" s="146" t="s">
        <v>5480</v>
      </c>
      <c r="W359" s="25"/>
      <c r="X359" s="25"/>
      <c r="AA359"/>
      <c r="AB359"/>
      <c r="AC359" s="272"/>
      <c r="AD359" s="40"/>
    </row>
    <row r="360" spans="16:30" ht="10.5" customHeight="1">
      <c r="P360" s="150" t="s">
        <v>5714</v>
      </c>
      <c r="Q360" s="150"/>
      <c r="R360" s="98"/>
      <c r="S360" s="146"/>
      <c r="T360" s="146" t="s">
        <v>5715</v>
      </c>
      <c r="U360" s="146" t="s">
        <v>5208</v>
      </c>
      <c r="W360" s="25"/>
      <c r="X360" s="25"/>
      <c r="AA360"/>
      <c r="AB360"/>
      <c r="AC360" s="40"/>
      <c r="AD360" s="40"/>
    </row>
    <row r="361" spans="16:30" ht="10.5" customHeight="1">
      <c r="P361" s="150" t="s">
        <v>5716</v>
      </c>
      <c r="Q361" s="150"/>
      <c r="R361" s="98"/>
      <c r="S361" s="146"/>
      <c r="T361" s="146" t="s">
        <v>5717</v>
      </c>
      <c r="U361" s="146" t="s">
        <v>4975</v>
      </c>
      <c r="W361" s="25"/>
      <c r="X361" s="25"/>
      <c r="AA361"/>
      <c r="AB361"/>
      <c r="AC361" s="40"/>
      <c r="AD361" s="40"/>
    </row>
    <row r="362" spans="16:30" ht="10.5" customHeight="1">
      <c r="P362" s="150" t="s">
        <v>5718</v>
      </c>
      <c r="Q362" s="150"/>
      <c r="R362" s="98"/>
      <c r="S362" s="146"/>
      <c r="T362" s="279" t="s">
        <v>5719</v>
      </c>
      <c r="U362" s="279" t="s">
        <v>5152</v>
      </c>
      <c r="W362" s="25"/>
      <c r="X362" s="25"/>
      <c r="AA362"/>
      <c r="AB362"/>
      <c r="AC362" s="40"/>
      <c r="AD362" s="40"/>
    </row>
    <row r="363" spans="16:30" ht="10.5" customHeight="1">
      <c r="P363" s="150" t="s">
        <v>5720</v>
      </c>
      <c r="Q363" s="150"/>
      <c r="R363" s="98"/>
      <c r="S363" s="146"/>
      <c r="T363" s="279" t="s">
        <v>5721</v>
      </c>
      <c r="U363" s="279" t="s">
        <v>5506</v>
      </c>
      <c r="W363" s="25"/>
      <c r="X363" s="25"/>
      <c r="AA363"/>
      <c r="AB363"/>
      <c r="AC363" s="272"/>
      <c r="AD363" s="40"/>
    </row>
    <row r="364" spans="16:30" ht="10.5" customHeight="1">
      <c r="P364" s="150" t="s">
        <v>5722</v>
      </c>
      <c r="Q364" s="150"/>
      <c r="R364" s="98"/>
      <c r="S364" s="146"/>
      <c r="T364" s="146" t="s">
        <v>5723</v>
      </c>
      <c r="U364" s="146" t="s">
        <v>5063</v>
      </c>
      <c r="W364" s="25"/>
      <c r="X364" s="25"/>
      <c r="AA364"/>
      <c r="AB364"/>
      <c r="AC364" s="272"/>
      <c r="AD364" s="40"/>
    </row>
    <row r="365" spans="16:30" ht="10.5" customHeight="1">
      <c r="P365" s="150" t="s">
        <v>5724</v>
      </c>
      <c r="Q365" s="150"/>
      <c r="R365" s="98"/>
      <c r="S365" s="146"/>
      <c r="T365" s="146" t="s">
        <v>5725</v>
      </c>
      <c r="U365" s="146" t="s">
        <v>89</v>
      </c>
      <c r="W365" s="25"/>
      <c r="X365" s="25"/>
      <c r="AA365"/>
      <c r="AB365"/>
      <c r="AC365" s="40"/>
      <c r="AD365" s="40"/>
    </row>
    <row r="366" spans="16:30" ht="10.5" customHeight="1">
      <c r="P366" s="150" t="s">
        <v>5726</v>
      </c>
      <c r="Q366" s="150"/>
      <c r="R366" s="98"/>
      <c r="S366" s="146"/>
      <c r="T366" s="279" t="s">
        <v>5727</v>
      </c>
      <c r="U366" s="279" t="s">
        <v>5202</v>
      </c>
      <c r="W366" s="25"/>
      <c r="X366" s="25"/>
      <c r="AA366"/>
      <c r="AB366"/>
      <c r="AC366" s="272"/>
      <c r="AD366" s="40"/>
    </row>
    <row r="367" spans="16:30" ht="10.5" customHeight="1">
      <c r="P367" s="150" t="s">
        <v>5728</v>
      </c>
      <c r="Q367" s="150"/>
      <c r="R367" s="98"/>
      <c r="S367" s="146"/>
      <c r="T367" s="279" t="s">
        <v>5729</v>
      </c>
      <c r="U367" s="279" t="s">
        <v>4883</v>
      </c>
      <c r="W367" s="25"/>
      <c r="X367" s="25"/>
      <c r="AA367"/>
      <c r="AB367"/>
      <c r="AC367" s="272"/>
      <c r="AD367" s="40"/>
    </row>
    <row r="368" spans="16:30" ht="10.5" customHeight="1">
      <c r="P368" s="150" t="s">
        <v>5730</v>
      </c>
      <c r="Q368" s="150"/>
      <c r="R368" s="98"/>
      <c r="S368" s="146"/>
      <c r="T368" s="279" t="s">
        <v>5731</v>
      </c>
      <c r="U368" s="279" t="s">
        <v>5114</v>
      </c>
      <c r="W368" s="25"/>
      <c r="X368" s="25"/>
      <c r="AA368"/>
      <c r="AB368"/>
      <c r="AC368" s="272"/>
      <c r="AD368" s="40"/>
    </row>
    <row r="369" spans="16:30" ht="10.5" customHeight="1">
      <c r="P369" s="150" t="s">
        <v>5732</v>
      </c>
      <c r="Q369" s="150"/>
      <c r="R369" s="98"/>
      <c r="S369" s="146"/>
      <c r="T369" s="279" t="s">
        <v>5733</v>
      </c>
      <c r="U369" s="279" t="s">
        <v>4917</v>
      </c>
      <c r="W369" s="25"/>
      <c r="X369" s="25"/>
      <c r="AA369"/>
      <c r="AB369"/>
      <c r="AC369" s="272"/>
      <c r="AD369" s="40"/>
    </row>
    <row r="370" spans="16:30" ht="10.5" customHeight="1">
      <c r="P370" s="150" t="s">
        <v>5734</v>
      </c>
      <c r="Q370" s="150"/>
      <c r="R370" s="98"/>
      <c r="S370" s="146"/>
      <c r="T370" s="279" t="s">
        <v>5735</v>
      </c>
      <c r="U370" s="279" t="s">
        <v>5275</v>
      </c>
      <c r="W370" s="25"/>
      <c r="X370" s="25"/>
      <c r="AA370"/>
      <c r="AB370"/>
      <c r="AC370" s="272"/>
      <c r="AD370" s="40"/>
    </row>
    <row r="371" spans="16:30" ht="10.5" customHeight="1">
      <c r="P371" s="150" t="s">
        <v>5736</v>
      </c>
      <c r="Q371" s="150"/>
      <c r="R371" s="98"/>
      <c r="S371" s="146"/>
      <c r="T371" s="279" t="s">
        <v>5737</v>
      </c>
      <c r="U371" s="279" t="s">
        <v>5172</v>
      </c>
      <c r="W371" s="25"/>
      <c r="X371" s="25"/>
      <c r="AA371"/>
      <c r="AB371"/>
      <c r="AC371" s="272"/>
      <c r="AD371" s="40"/>
    </row>
    <row r="372" spans="16:30" ht="10.5" customHeight="1">
      <c r="P372" s="150" t="s">
        <v>5738</v>
      </c>
      <c r="Q372" s="150"/>
      <c r="R372" s="98"/>
      <c r="S372" s="146"/>
      <c r="T372" s="279" t="s">
        <v>5739</v>
      </c>
      <c r="U372" s="279" t="s">
        <v>5431</v>
      </c>
      <c r="W372" s="25"/>
      <c r="X372" s="25"/>
      <c r="AA372"/>
      <c r="AB372"/>
      <c r="AC372" s="272"/>
      <c r="AD372" s="40"/>
    </row>
    <row r="373" spans="16:30" ht="10.5" customHeight="1">
      <c r="P373" s="150" t="s">
        <v>5740</v>
      </c>
      <c r="Q373" s="150"/>
      <c r="R373" s="98"/>
      <c r="S373" s="146"/>
      <c r="T373" s="279" t="s">
        <v>5741</v>
      </c>
      <c r="U373" s="279" t="s">
        <v>4883</v>
      </c>
      <c r="W373" s="25"/>
      <c r="X373" s="25"/>
      <c r="AA373"/>
      <c r="AB373"/>
      <c r="AC373" s="272"/>
      <c r="AD373" s="40"/>
    </row>
    <row r="374" spans="16:30" ht="10.5" customHeight="1">
      <c r="P374" s="150" t="s">
        <v>5742</v>
      </c>
      <c r="Q374" s="150"/>
      <c r="R374" s="98"/>
      <c r="S374" s="146"/>
      <c r="T374" s="279" t="s">
        <v>105</v>
      </c>
      <c r="U374" s="279" t="s">
        <v>106</v>
      </c>
      <c r="W374" s="25"/>
      <c r="X374" s="25"/>
      <c r="AA374"/>
      <c r="AB374"/>
      <c r="AC374" s="272"/>
      <c r="AD374" s="40"/>
    </row>
    <row r="375" spans="16:30" ht="10.5" customHeight="1">
      <c r="P375" s="150" t="s">
        <v>5743</v>
      </c>
      <c r="Q375" s="150"/>
      <c r="R375" s="98"/>
      <c r="S375" s="146"/>
      <c r="T375" s="279" t="s">
        <v>107</v>
      </c>
      <c r="U375" s="279" t="s">
        <v>102</v>
      </c>
      <c r="W375" s="25"/>
      <c r="X375" s="25"/>
      <c r="AA375"/>
      <c r="AB375"/>
      <c r="AC375" s="272"/>
      <c r="AD375" s="40"/>
    </row>
    <row r="376" spans="16:30" ht="10.5" customHeight="1">
      <c r="P376" s="150" t="s">
        <v>5744</v>
      </c>
      <c r="Q376" s="150"/>
      <c r="R376" s="98"/>
      <c r="S376" s="146"/>
      <c r="T376" s="279" t="s">
        <v>108</v>
      </c>
      <c r="U376" s="279" t="s">
        <v>109</v>
      </c>
      <c r="W376" s="25"/>
      <c r="X376" s="25"/>
      <c r="AA376"/>
      <c r="AB376"/>
      <c r="AC376" s="272"/>
      <c r="AD376" s="40"/>
    </row>
    <row r="377" spans="16:30" ht="10.5" customHeight="1">
      <c r="P377" s="150" t="s">
        <v>5745</v>
      </c>
      <c r="Q377" s="150"/>
      <c r="R377" s="98"/>
      <c r="S377" s="146"/>
      <c r="T377" s="146" t="s">
        <v>2104</v>
      </c>
      <c r="U377" s="146" t="s">
        <v>142</v>
      </c>
      <c r="W377" s="25"/>
      <c r="X377" s="25"/>
      <c r="AA377"/>
      <c r="AB377"/>
      <c r="AC377" s="40"/>
      <c r="AD377" s="40"/>
    </row>
    <row r="378" spans="16:30" ht="10.5" customHeight="1">
      <c r="P378" s="150" t="s">
        <v>5746</v>
      </c>
      <c r="Q378" s="150"/>
      <c r="R378" s="98"/>
      <c r="S378" s="146"/>
      <c r="T378" s="279" t="s">
        <v>5747</v>
      </c>
      <c r="U378" s="279" t="s">
        <v>5217</v>
      </c>
      <c r="W378" s="25"/>
      <c r="X378" s="25"/>
      <c r="AA378"/>
      <c r="AB378"/>
      <c r="AC378" s="272"/>
      <c r="AD378" s="40"/>
    </row>
    <row r="379" spans="16:30" ht="10.5" customHeight="1">
      <c r="P379" s="150" t="s">
        <v>5748</v>
      </c>
      <c r="Q379" s="150"/>
      <c r="R379" s="98"/>
      <c r="S379" s="146"/>
      <c r="T379" s="279" t="s">
        <v>110</v>
      </c>
      <c r="U379" s="279" t="s">
        <v>92</v>
      </c>
      <c r="W379" s="25"/>
      <c r="X379" s="25"/>
      <c r="AA379"/>
      <c r="AB379"/>
      <c r="AC379" s="272"/>
      <c r="AD379" s="40"/>
    </row>
    <row r="380" spans="16:30" ht="10.5" customHeight="1">
      <c r="P380" s="150" t="s">
        <v>5749</v>
      </c>
      <c r="Q380" s="150"/>
      <c r="R380" s="98"/>
      <c r="S380" s="146"/>
      <c r="T380" s="279" t="s">
        <v>5750</v>
      </c>
      <c r="U380" s="279" t="s">
        <v>5014</v>
      </c>
      <c r="W380" s="25"/>
      <c r="X380" s="25"/>
      <c r="AA380"/>
      <c r="AB380"/>
      <c r="AC380" s="272"/>
      <c r="AD380" s="40"/>
    </row>
    <row r="381" spans="16:30" ht="10.5" customHeight="1">
      <c r="P381" s="150" t="s">
        <v>5751</v>
      </c>
      <c r="Q381" s="150"/>
      <c r="R381" s="98"/>
      <c r="S381" s="146"/>
      <c r="T381" s="279" t="s">
        <v>5752</v>
      </c>
      <c r="U381" s="279" t="s">
        <v>5177</v>
      </c>
      <c r="W381" s="25"/>
      <c r="X381" s="25"/>
      <c r="AA381"/>
      <c r="AB381"/>
      <c r="AC381" s="272"/>
      <c r="AD381" s="40"/>
    </row>
    <row r="382" spans="16:30" ht="10.5" customHeight="1">
      <c r="P382" s="150" t="s">
        <v>5753</v>
      </c>
      <c r="Q382" s="150"/>
      <c r="R382" s="98"/>
      <c r="S382" s="146"/>
      <c r="T382" s="279" t="s">
        <v>5754</v>
      </c>
      <c r="U382" s="279" t="s">
        <v>4911</v>
      </c>
      <c r="W382" s="25"/>
      <c r="X382" s="25"/>
      <c r="AA382"/>
      <c r="AB382"/>
      <c r="AC382" s="272"/>
      <c r="AD382" s="40"/>
    </row>
    <row r="383" spans="16:30" ht="10.5" customHeight="1">
      <c r="P383" s="150" t="s">
        <v>5755</v>
      </c>
      <c r="Q383" s="150"/>
      <c r="R383" s="98"/>
      <c r="S383" s="146"/>
      <c r="T383" s="279" t="s">
        <v>5756</v>
      </c>
      <c r="U383" s="279" t="s">
        <v>112</v>
      </c>
      <c r="W383" s="25"/>
      <c r="X383" s="25"/>
      <c r="AA383"/>
      <c r="AB383"/>
      <c r="AC383" s="272"/>
      <c r="AD383" s="40"/>
    </row>
    <row r="384" spans="16:30" ht="10.5" customHeight="1">
      <c r="P384" s="150" t="s">
        <v>5757</v>
      </c>
      <c r="Q384" s="150"/>
      <c r="R384" s="98"/>
      <c r="S384" s="146"/>
      <c r="T384" s="279" t="s">
        <v>5758</v>
      </c>
      <c r="U384" s="279" t="s">
        <v>4968</v>
      </c>
      <c r="W384" s="25"/>
      <c r="X384" s="25"/>
      <c r="AA384"/>
      <c r="AB384"/>
      <c r="AC384" s="272"/>
      <c r="AD384" s="40"/>
    </row>
    <row r="385" spans="16:30" ht="10.5" customHeight="1">
      <c r="P385" s="150" t="s">
        <v>5759</v>
      </c>
      <c r="Q385" s="150"/>
      <c r="R385" s="98"/>
      <c r="S385" s="146"/>
      <c r="T385" s="279" t="s">
        <v>5760</v>
      </c>
      <c r="U385" s="279" t="s">
        <v>5245</v>
      </c>
      <c r="W385" s="25"/>
      <c r="X385" s="25"/>
      <c r="AA385"/>
      <c r="AB385"/>
      <c r="AC385" s="272"/>
      <c r="AD385" s="40"/>
    </row>
    <row r="386" spans="16:30" ht="10.5" customHeight="1">
      <c r="P386" s="150" t="s">
        <v>5761</v>
      </c>
      <c r="Q386" s="150"/>
      <c r="R386" s="98"/>
      <c r="S386" s="146"/>
      <c r="T386" s="279" t="s">
        <v>5762</v>
      </c>
      <c r="U386" s="279" t="s">
        <v>5004</v>
      </c>
      <c r="W386" s="25"/>
      <c r="X386" s="25"/>
      <c r="AA386"/>
      <c r="AB386"/>
      <c r="AC386" s="272"/>
      <c r="AD386" s="40"/>
    </row>
    <row r="387" spans="16:30" ht="10.5" customHeight="1">
      <c r="P387" s="150" t="s">
        <v>5763</v>
      </c>
      <c r="Q387" s="150"/>
      <c r="R387" s="98"/>
      <c r="S387" s="146"/>
      <c r="T387" s="279" t="s">
        <v>5764</v>
      </c>
      <c r="U387" s="279" t="s">
        <v>89</v>
      </c>
      <c r="W387" s="25"/>
      <c r="X387" s="25"/>
      <c r="AA387"/>
      <c r="AB387"/>
      <c r="AC387" s="272"/>
      <c r="AD387" s="40"/>
    </row>
    <row r="388" spans="16:30" ht="10.5" customHeight="1">
      <c r="P388" s="150" t="s">
        <v>5765</v>
      </c>
      <c r="Q388" s="150"/>
      <c r="R388" s="98"/>
      <c r="S388" s="146"/>
      <c r="T388" s="279" t="s">
        <v>5188</v>
      </c>
      <c r="U388" s="279" t="s">
        <v>5416</v>
      </c>
      <c r="W388" s="25"/>
      <c r="X388" s="25"/>
      <c r="AA388"/>
      <c r="AB388"/>
      <c r="AC388" s="272"/>
      <c r="AD388" s="40"/>
    </row>
    <row r="389" spans="16:30" ht="10.5" customHeight="1">
      <c r="P389" s="150" t="s">
        <v>5766</v>
      </c>
      <c r="Q389" s="150"/>
      <c r="R389" s="98"/>
      <c r="S389" s="146"/>
      <c r="T389" s="279" t="s">
        <v>5767</v>
      </c>
      <c r="U389" s="279" t="s">
        <v>5039</v>
      </c>
      <c r="W389" s="25"/>
      <c r="X389" s="25"/>
      <c r="AA389"/>
      <c r="AB389"/>
      <c r="AC389" s="272"/>
      <c r="AD389" s="40"/>
    </row>
    <row r="390" spans="16:30" ht="10.5" customHeight="1">
      <c r="P390" s="150" t="s">
        <v>5768</v>
      </c>
      <c r="Q390" s="150"/>
      <c r="R390" s="98"/>
      <c r="S390" s="146"/>
      <c r="T390" s="279" t="s">
        <v>5769</v>
      </c>
      <c r="U390" s="279" t="s">
        <v>123</v>
      </c>
      <c r="W390" s="25"/>
      <c r="X390" s="25"/>
      <c r="AA390"/>
      <c r="AB390"/>
      <c r="AC390" s="272"/>
      <c r="AD390" s="40"/>
    </row>
    <row r="391" spans="16:30" ht="10.5" customHeight="1">
      <c r="P391" s="150" t="s">
        <v>5770</v>
      </c>
      <c r="Q391" s="150"/>
      <c r="R391" s="98"/>
      <c r="S391" s="146"/>
      <c r="T391" s="279" t="s">
        <v>111</v>
      </c>
      <c r="U391" s="279" t="s">
        <v>112</v>
      </c>
      <c r="W391" s="25"/>
      <c r="X391" s="25"/>
      <c r="AA391"/>
      <c r="AB391"/>
      <c r="AC391" s="272"/>
      <c r="AD391" s="40"/>
    </row>
    <row r="392" spans="16:30" ht="10.5" customHeight="1">
      <c r="P392" s="150" t="s">
        <v>5771</v>
      </c>
      <c r="Q392" s="150"/>
      <c r="R392" s="98"/>
      <c r="S392" s="146"/>
      <c r="T392" s="279" t="s">
        <v>5772</v>
      </c>
      <c r="U392" s="279" t="s">
        <v>5333</v>
      </c>
      <c r="W392" s="25"/>
      <c r="X392" s="25"/>
      <c r="AA392"/>
      <c r="AB392"/>
      <c r="AC392" s="272"/>
      <c r="AD392" s="40"/>
    </row>
    <row r="393" spans="16:30" ht="10.5" customHeight="1">
      <c r="P393" s="150" t="s">
        <v>5773</v>
      </c>
      <c r="Q393" s="150"/>
      <c r="R393" s="98"/>
      <c r="S393" s="146"/>
      <c r="T393" s="279" t="s">
        <v>5193</v>
      </c>
      <c r="U393" s="279" t="s">
        <v>5275</v>
      </c>
      <c r="W393" s="25"/>
      <c r="X393" s="25"/>
      <c r="AA393"/>
      <c r="AB393"/>
      <c r="AC393" s="272"/>
      <c r="AD393" s="40"/>
    </row>
    <row r="394" spans="16:30" ht="10.5" customHeight="1">
      <c r="P394" s="150" t="s">
        <v>5774</v>
      </c>
      <c r="Q394" s="150"/>
      <c r="R394" s="98"/>
      <c r="S394" s="146"/>
      <c r="T394" s="279" t="s">
        <v>5775</v>
      </c>
      <c r="U394" s="279" t="s">
        <v>5193</v>
      </c>
      <c r="W394" s="25"/>
      <c r="X394" s="25"/>
      <c r="AA394"/>
      <c r="AB394"/>
      <c r="AC394" s="272"/>
      <c r="AD394" s="40"/>
    </row>
    <row r="395" spans="16:30" ht="10.5" customHeight="1">
      <c r="P395" s="150" t="s">
        <v>5776</v>
      </c>
      <c r="Q395" s="150"/>
      <c r="R395" s="98"/>
      <c r="S395" s="146"/>
      <c r="T395" s="279" t="s">
        <v>5777</v>
      </c>
      <c r="U395" s="279" t="s">
        <v>5063</v>
      </c>
      <c r="W395" s="25"/>
      <c r="X395" s="25"/>
      <c r="AA395"/>
      <c r="AB395"/>
      <c r="AC395" s="272"/>
      <c r="AD395" s="40"/>
    </row>
    <row r="396" spans="16:30" ht="10.5" customHeight="1">
      <c r="P396" s="150" t="s">
        <v>5778</v>
      </c>
      <c r="Q396" s="150"/>
      <c r="R396" s="98"/>
      <c r="S396" s="146"/>
      <c r="T396" s="279" t="s">
        <v>5084</v>
      </c>
      <c r="U396" s="279" t="s">
        <v>5245</v>
      </c>
      <c r="W396" s="25"/>
      <c r="X396" s="25"/>
      <c r="AA396"/>
      <c r="AB396"/>
      <c r="AC396" s="272"/>
      <c r="AD396" s="40"/>
    </row>
    <row r="397" spans="16:30" ht="10.5" customHeight="1">
      <c r="P397" s="150" t="s">
        <v>5779</v>
      </c>
      <c r="Q397" s="150"/>
      <c r="R397" s="98"/>
      <c r="S397" s="146"/>
      <c r="T397" s="279" t="s">
        <v>5780</v>
      </c>
      <c r="U397" s="279" t="s">
        <v>126</v>
      </c>
      <c r="W397" s="25"/>
      <c r="X397" s="25"/>
      <c r="AA397"/>
      <c r="AB397"/>
      <c r="AC397" s="272"/>
      <c r="AD397" s="40"/>
    </row>
    <row r="398" spans="16:30" ht="10.5" customHeight="1">
      <c r="P398" s="150" t="s">
        <v>5781</v>
      </c>
      <c r="Q398" s="150"/>
      <c r="R398" s="98"/>
      <c r="S398" s="146"/>
      <c r="T398" s="279" t="s">
        <v>5782</v>
      </c>
      <c r="U398" s="279" t="s">
        <v>5159</v>
      </c>
      <c r="W398" s="25"/>
      <c r="X398" s="25"/>
      <c r="AA398"/>
      <c r="AB398"/>
      <c r="AC398" s="272"/>
      <c r="AD398" s="40"/>
    </row>
    <row r="399" spans="16:30" ht="10.5" customHeight="1">
      <c r="P399" s="150" t="s">
        <v>5783</v>
      </c>
      <c r="Q399" s="150"/>
      <c r="R399" s="98"/>
      <c r="S399" s="146"/>
      <c r="T399" s="279" t="s">
        <v>5784</v>
      </c>
      <c r="U399" s="279" t="s">
        <v>5401</v>
      </c>
      <c r="W399" s="25"/>
      <c r="X399" s="25"/>
      <c r="AA399"/>
      <c r="AB399"/>
      <c r="AC399" s="272"/>
      <c r="AD399" s="40"/>
    </row>
    <row r="400" spans="16:30" ht="10.5" customHeight="1">
      <c r="P400" s="150" t="s">
        <v>5785</v>
      </c>
      <c r="Q400" s="150"/>
      <c r="R400" s="98"/>
      <c r="S400" s="146"/>
      <c r="T400" s="146" t="s">
        <v>5786</v>
      </c>
      <c r="U400" s="146" t="s">
        <v>5538</v>
      </c>
      <c r="AA400"/>
      <c r="AB400"/>
      <c r="AC400" s="40"/>
      <c r="AD400" s="40"/>
    </row>
    <row r="401" spans="16:30" ht="10.5" customHeight="1">
      <c r="P401" s="150" t="s">
        <v>5787</v>
      </c>
      <c r="Q401" s="150"/>
      <c r="R401" s="98"/>
      <c r="S401" s="146"/>
      <c r="T401" s="279" t="s">
        <v>113</v>
      </c>
      <c r="U401" s="279" t="s">
        <v>114</v>
      </c>
      <c r="AA401"/>
      <c r="AB401"/>
      <c r="AC401" s="272"/>
      <c r="AD401" s="40"/>
    </row>
    <row r="402" spans="16:30" ht="10.5" customHeight="1">
      <c r="P402" s="150" t="s">
        <v>5788</v>
      </c>
      <c r="Q402" s="150"/>
      <c r="R402" s="98"/>
      <c r="S402" s="146"/>
      <c r="T402" s="279" t="s">
        <v>5789</v>
      </c>
      <c r="U402" s="279" t="s">
        <v>5208</v>
      </c>
      <c r="AA402"/>
      <c r="AB402"/>
      <c r="AC402" s="272"/>
      <c r="AD402" s="40"/>
    </row>
    <row r="403" spans="16:30" ht="10.5" customHeight="1">
      <c r="P403" s="150" t="s">
        <v>5790</v>
      </c>
      <c r="Q403" s="150"/>
      <c r="R403" s="98"/>
      <c r="S403" s="146"/>
      <c r="T403" s="279" t="s">
        <v>5791</v>
      </c>
      <c r="U403" s="279" t="s">
        <v>5245</v>
      </c>
      <c r="AA403"/>
      <c r="AB403"/>
      <c r="AC403" s="272"/>
      <c r="AD403" s="40"/>
    </row>
    <row r="404" spans="16:30" ht="10.5" customHeight="1">
      <c r="P404" s="150" t="s">
        <v>5792</v>
      </c>
      <c r="Q404" s="150"/>
      <c r="R404" s="98"/>
      <c r="S404" s="146"/>
      <c r="T404" s="146" t="s">
        <v>5793</v>
      </c>
      <c r="U404" s="146" t="s">
        <v>4961</v>
      </c>
      <c r="AA404"/>
      <c r="AB404"/>
      <c r="AC404" s="40"/>
      <c r="AD404" s="40"/>
    </row>
    <row r="405" spans="16:30" ht="10.5" customHeight="1">
      <c r="P405" s="150" t="s">
        <v>5794</v>
      </c>
      <c r="Q405" s="150"/>
      <c r="R405" s="98"/>
      <c r="S405" s="146"/>
      <c r="T405" s="279" t="s">
        <v>5795</v>
      </c>
      <c r="U405" s="279" t="s">
        <v>5505</v>
      </c>
      <c r="AA405"/>
      <c r="AB405"/>
      <c r="AC405" s="272"/>
      <c r="AD405" s="40"/>
    </row>
    <row r="406" spans="16:30" ht="10.5" customHeight="1">
      <c r="P406" s="150" t="s">
        <v>5796</v>
      </c>
      <c r="Q406" s="150"/>
      <c r="R406" s="98"/>
      <c r="S406" s="146"/>
      <c r="T406" s="279" t="s">
        <v>5797</v>
      </c>
      <c r="U406" s="279" t="s">
        <v>4910</v>
      </c>
      <c r="AA406"/>
      <c r="AB406"/>
      <c r="AC406" s="272"/>
      <c r="AD406" s="40"/>
    </row>
    <row r="407" spans="16:30" ht="10.5" customHeight="1">
      <c r="P407" s="150" t="s">
        <v>5798</v>
      </c>
      <c r="Q407" s="150"/>
      <c r="R407" s="98"/>
      <c r="S407" s="146"/>
      <c r="T407" s="279" t="s">
        <v>5799</v>
      </c>
      <c r="U407" s="279" t="s">
        <v>5150</v>
      </c>
      <c r="AA407"/>
      <c r="AB407"/>
      <c r="AC407" s="272"/>
      <c r="AD407" s="40"/>
    </row>
    <row r="408" spans="16:30" ht="10.5" customHeight="1">
      <c r="P408" s="150" t="s">
        <v>5800</v>
      </c>
      <c r="Q408" s="150"/>
      <c r="R408" s="98"/>
      <c r="S408" s="146"/>
      <c r="T408" s="279" t="s">
        <v>5217</v>
      </c>
      <c r="U408" s="279" t="s">
        <v>4942</v>
      </c>
      <c r="AA408"/>
      <c r="AB408"/>
      <c r="AC408" s="272"/>
      <c r="AD408" s="40"/>
    </row>
    <row r="409" spans="16:30" ht="10.5" customHeight="1">
      <c r="P409" s="150" t="s">
        <v>5801</v>
      </c>
      <c r="Q409" s="150"/>
      <c r="R409" s="98"/>
      <c r="S409" s="146"/>
      <c r="T409" s="279" t="s">
        <v>5802</v>
      </c>
      <c r="U409" s="279" t="s">
        <v>4854</v>
      </c>
      <c r="AA409"/>
      <c r="AB409"/>
      <c r="AC409" s="272"/>
      <c r="AD409" s="40"/>
    </row>
    <row r="410" spans="16:30" ht="10.5" customHeight="1">
      <c r="P410" s="150" t="s">
        <v>5803</v>
      </c>
      <c r="Q410" s="150"/>
      <c r="R410" s="98"/>
      <c r="S410" s="146"/>
      <c r="T410" s="146" t="s">
        <v>5804</v>
      </c>
      <c r="U410" s="146" t="s">
        <v>104</v>
      </c>
      <c r="AA410"/>
      <c r="AB410"/>
      <c r="AC410" s="40"/>
      <c r="AD410" s="40"/>
    </row>
    <row r="411" spans="16:30" ht="10.5" customHeight="1">
      <c r="P411" s="150" t="s">
        <v>5805</v>
      </c>
      <c r="Q411" s="150"/>
      <c r="R411" s="98"/>
      <c r="S411" s="146"/>
      <c r="T411" s="279" t="s">
        <v>5806</v>
      </c>
      <c r="U411" s="279" t="s">
        <v>5325</v>
      </c>
      <c r="AA411"/>
      <c r="AB411"/>
      <c r="AC411" s="272"/>
      <c r="AD411" s="40"/>
    </row>
    <row r="412" spans="16:30" ht="10.5" customHeight="1">
      <c r="P412" s="150" t="s">
        <v>5807</v>
      </c>
      <c r="Q412" s="150"/>
      <c r="R412" s="98"/>
      <c r="S412" s="146"/>
      <c r="T412" s="279" t="s">
        <v>5808</v>
      </c>
      <c r="U412" s="279" t="s">
        <v>5133</v>
      </c>
      <c r="AA412"/>
      <c r="AB412"/>
      <c r="AC412" s="272"/>
      <c r="AD412" s="40"/>
    </row>
    <row r="413" spans="16:30" ht="10.5" customHeight="1">
      <c r="P413" s="150" t="s">
        <v>5809</v>
      </c>
      <c r="Q413" s="150"/>
      <c r="R413" s="98"/>
      <c r="S413" s="146"/>
      <c r="T413" s="279" t="s">
        <v>2106</v>
      </c>
      <c r="U413" s="279" t="s">
        <v>5230</v>
      </c>
      <c r="AA413"/>
      <c r="AB413"/>
      <c r="AC413" s="272"/>
      <c r="AD413" s="40"/>
    </row>
    <row r="414" spans="16:30" ht="10.5" customHeight="1">
      <c r="P414" s="150" t="s">
        <v>5810</v>
      </c>
      <c r="Q414" s="150"/>
      <c r="R414" s="98"/>
      <c r="S414" s="146"/>
      <c r="T414" s="279" t="s">
        <v>5811</v>
      </c>
      <c r="U414" s="279" t="s">
        <v>5401</v>
      </c>
      <c r="AA414"/>
      <c r="AB414"/>
      <c r="AC414" s="272"/>
      <c r="AD414" s="40"/>
    </row>
    <row r="415" spans="16:30" ht="10.5" customHeight="1">
      <c r="P415" s="150" t="s">
        <v>5812</v>
      </c>
      <c r="Q415" s="150"/>
      <c r="R415" s="98"/>
      <c r="S415" s="146"/>
      <c r="T415" s="279" t="s">
        <v>115</v>
      </c>
      <c r="U415" s="279" t="s">
        <v>84</v>
      </c>
      <c r="AA415"/>
      <c r="AB415"/>
      <c r="AC415" s="272"/>
      <c r="AD415" s="40"/>
    </row>
    <row r="416" spans="16:30" ht="10.5" customHeight="1">
      <c r="P416" s="150" t="s">
        <v>5813</v>
      </c>
      <c r="Q416" s="150"/>
      <c r="R416" s="98"/>
      <c r="S416" s="146"/>
      <c r="T416" s="279" t="s">
        <v>2108</v>
      </c>
      <c r="U416" s="279" t="s">
        <v>102</v>
      </c>
      <c r="AA416"/>
      <c r="AB416"/>
      <c r="AC416" s="272"/>
      <c r="AD416" s="40"/>
    </row>
    <row r="417" spans="16:30" ht="10.5" customHeight="1">
      <c r="P417" s="150" t="s">
        <v>5814</v>
      </c>
      <c r="Q417" s="150"/>
      <c r="R417" s="98"/>
      <c r="S417" s="146"/>
      <c r="T417" s="279" t="s">
        <v>5815</v>
      </c>
      <c r="U417" s="279" t="s">
        <v>106</v>
      </c>
      <c r="AA417"/>
      <c r="AB417"/>
      <c r="AC417" s="272"/>
      <c r="AD417" s="40"/>
    </row>
    <row r="418" spans="16:30" ht="10.5" customHeight="1">
      <c r="P418" s="150" t="s">
        <v>5816</v>
      </c>
      <c r="Q418" s="150"/>
      <c r="R418" s="98"/>
      <c r="S418" s="146"/>
      <c r="T418" s="279" t="s">
        <v>5817</v>
      </c>
      <c r="U418" s="279" t="s">
        <v>112</v>
      </c>
      <c r="AA418"/>
      <c r="AB418"/>
      <c r="AC418" s="272"/>
      <c r="AD418" s="40"/>
    </row>
    <row r="419" spans="16:30" ht="10.5" customHeight="1">
      <c r="P419" s="150" t="s">
        <v>5818</v>
      </c>
      <c r="Q419" s="150"/>
      <c r="R419" s="98"/>
      <c r="S419" s="146"/>
      <c r="T419" s="279" t="s">
        <v>116</v>
      </c>
      <c r="U419" s="279" t="s">
        <v>117</v>
      </c>
      <c r="AA419"/>
      <c r="AB419"/>
      <c r="AC419" s="272"/>
      <c r="AD419" s="40"/>
    </row>
    <row r="420" spans="16:30" ht="10.5" customHeight="1">
      <c r="P420" s="150" t="s">
        <v>5819</v>
      </c>
      <c r="Q420" s="150"/>
      <c r="R420" s="98"/>
      <c r="S420" s="146"/>
      <c r="T420" s="279" t="s">
        <v>5820</v>
      </c>
      <c r="U420" s="279" t="s">
        <v>5146</v>
      </c>
      <c r="AA420"/>
      <c r="AB420"/>
      <c r="AC420" s="272"/>
      <c r="AD420" s="40"/>
    </row>
    <row r="421" spans="16:30" ht="10.5" customHeight="1">
      <c r="P421" s="150" t="s">
        <v>5821</v>
      </c>
      <c r="Q421" s="150"/>
      <c r="R421" s="98"/>
      <c r="S421" s="146"/>
      <c r="T421" s="279" t="s">
        <v>5822</v>
      </c>
      <c r="U421" s="279" t="s">
        <v>105</v>
      </c>
      <c r="AA421"/>
      <c r="AB421"/>
      <c r="AC421" s="272"/>
      <c r="AD421" s="40"/>
    </row>
    <row r="422" spans="16:30" ht="10.5" customHeight="1">
      <c r="P422" s="150" t="s">
        <v>5823</v>
      </c>
      <c r="Q422" s="150"/>
      <c r="R422" s="98"/>
      <c r="S422" s="146"/>
      <c r="T422" s="279" t="s">
        <v>5824</v>
      </c>
      <c r="U422" s="279" t="s">
        <v>140</v>
      </c>
      <c r="AA422"/>
      <c r="AB422"/>
      <c r="AC422" s="272"/>
      <c r="AD422" s="40"/>
    </row>
    <row r="423" spans="16:30" ht="10.5" customHeight="1">
      <c r="P423" s="150" t="s">
        <v>5825</v>
      </c>
      <c r="Q423" s="150"/>
      <c r="R423" s="98"/>
      <c r="S423" s="146"/>
      <c r="T423" s="146" t="s">
        <v>5826</v>
      </c>
      <c r="U423" s="146" t="s">
        <v>5264</v>
      </c>
      <c r="AA423"/>
      <c r="AB423"/>
      <c r="AC423" s="40"/>
      <c r="AD423" s="40"/>
    </row>
    <row r="424" spans="16:30" ht="10.5" customHeight="1">
      <c r="P424" s="150" t="s">
        <v>5827</v>
      </c>
      <c r="Q424" s="150"/>
      <c r="R424" s="98"/>
      <c r="S424" s="146"/>
      <c r="T424" s="279" t="s">
        <v>5828</v>
      </c>
      <c r="U424" s="279" t="s">
        <v>87</v>
      </c>
      <c r="AA424"/>
      <c r="AB424"/>
      <c r="AC424" s="272"/>
      <c r="AD424" s="40"/>
    </row>
    <row r="425" spans="16:30" ht="10.5" customHeight="1">
      <c r="P425" s="150" t="s">
        <v>5829</v>
      </c>
      <c r="Q425" s="150"/>
      <c r="R425" s="98"/>
      <c r="S425" s="146"/>
      <c r="T425" s="279" t="s">
        <v>118</v>
      </c>
      <c r="U425" s="279" t="s">
        <v>119</v>
      </c>
      <c r="AA425"/>
      <c r="AB425"/>
      <c r="AC425" s="272"/>
      <c r="AD425" s="40"/>
    </row>
    <row r="426" spans="16:30" ht="10.5" customHeight="1">
      <c r="P426" s="150" t="s">
        <v>5830</v>
      </c>
      <c r="Q426" s="150"/>
      <c r="R426" s="98"/>
      <c r="S426" s="146"/>
      <c r="T426" s="279" t="s">
        <v>5831</v>
      </c>
      <c r="U426" s="279" t="s">
        <v>142</v>
      </c>
      <c r="AA426"/>
      <c r="AB426"/>
      <c r="AC426" s="272"/>
      <c r="AD426" s="40"/>
    </row>
    <row r="427" spans="16:30" ht="10.5" customHeight="1">
      <c r="P427" s="150" t="s">
        <v>5832</v>
      </c>
      <c r="Q427" s="150"/>
      <c r="R427" s="98"/>
      <c r="S427" s="146"/>
      <c r="T427" s="279" t="s">
        <v>5258</v>
      </c>
      <c r="U427" s="279" t="s">
        <v>104</v>
      </c>
      <c r="AA427"/>
      <c r="AB427"/>
      <c r="AC427" s="272"/>
      <c r="AD427" s="40"/>
    </row>
    <row r="428" spans="16:30" ht="10.5" customHeight="1">
      <c r="P428" s="150" t="s">
        <v>5833</v>
      </c>
      <c r="Q428" s="150"/>
      <c r="R428" s="98"/>
      <c r="S428" s="146"/>
      <c r="T428" s="279" t="s">
        <v>5834</v>
      </c>
      <c r="U428" s="279" t="s">
        <v>4885</v>
      </c>
      <c r="AA428"/>
      <c r="AB428"/>
      <c r="AC428" s="272"/>
      <c r="AD428" s="40"/>
    </row>
    <row r="429" spans="16:30" ht="10.5" customHeight="1">
      <c r="P429" s="150" t="s">
        <v>5835</v>
      </c>
      <c r="Q429" s="150"/>
      <c r="R429" s="98"/>
      <c r="S429" s="146"/>
      <c r="T429" s="279" t="s">
        <v>5836</v>
      </c>
      <c r="U429" s="279" t="s">
        <v>106</v>
      </c>
      <c r="AA429"/>
      <c r="AB429"/>
      <c r="AC429" s="272"/>
      <c r="AD429" s="40"/>
    </row>
    <row r="430" spans="16:30" ht="10.5" customHeight="1">
      <c r="P430" s="150" t="s">
        <v>5837</v>
      </c>
      <c r="Q430" s="150"/>
      <c r="R430" s="98"/>
      <c r="S430" s="146"/>
      <c r="T430" s="279" t="s">
        <v>5838</v>
      </c>
      <c r="U430" s="279" t="s">
        <v>2147</v>
      </c>
      <c r="AA430"/>
      <c r="AB430"/>
      <c r="AC430" s="272"/>
      <c r="AD430" s="40"/>
    </row>
    <row r="431" spans="16:30" ht="10.5" customHeight="1">
      <c r="P431" s="150" t="s">
        <v>5839</v>
      </c>
      <c r="Q431" s="150"/>
      <c r="R431" s="98"/>
      <c r="S431" s="146"/>
      <c r="T431" s="279" t="s">
        <v>2109</v>
      </c>
      <c r="U431" s="279" t="s">
        <v>155</v>
      </c>
      <c r="AA431"/>
      <c r="AB431"/>
      <c r="AC431" s="272"/>
      <c r="AD431" s="40"/>
    </row>
    <row r="432" spans="16:30" ht="10.5" customHeight="1">
      <c r="P432" s="150" t="s">
        <v>5840</v>
      </c>
      <c r="Q432" s="150"/>
      <c r="R432" s="98"/>
      <c r="S432" s="146"/>
      <c r="T432" s="279" t="s">
        <v>5841</v>
      </c>
      <c r="U432" s="279" t="s">
        <v>5475</v>
      </c>
      <c r="AA432"/>
      <c r="AB432"/>
      <c r="AC432" s="272"/>
      <c r="AD432" s="40"/>
    </row>
    <row r="433" spans="16:30" ht="10.5" customHeight="1">
      <c r="P433" s="150" t="s">
        <v>5842</v>
      </c>
      <c r="Q433" s="150"/>
      <c r="R433" s="98"/>
      <c r="S433" s="146"/>
      <c r="T433" s="279" t="s">
        <v>5843</v>
      </c>
      <c r="U433" s="279" t="s">
        <v>5301</v>
      </c>
      <c r="AA433"/>
      <c r="AB433"/>
      <c r="AC433" s="272"/>
      <c r="AD433" s="40"/>
    </row>
    <row r="434" spans="16:30" ht="10.5" customHeight="1">
      <c r="P434" s="150" t="s">
        <v>5844</v>
      </c>
      <c r="Q434" s="150"/>
      <c r="R434" s="98"/>
      <c r="S434" s="146"/>
      <c r="T434" s="279" t="s">
        <v>5845</v>
      </c>
      <c r="U434" s="279" t="s">
        <v>5498</v>
      </c>
      <c r="AA434"/>
      <c r="AB434"/>
      <c r="AC434" s="272"/>
      <c r="AD434" s="40"/>
    </row>
    <row r="435" spans="16:30" ht="10.5" customHeight="1">
      <c r="P435" s="150" t="s">
        <v>5846</v>
      </c>
      <c r="Q435" s="150"/>
      <c r="R435" s="98"/>
      <c r="S435" s="146"/>
      <c r="T435" s="279" t="s">
        <v>5847</v>
      </c>
      <c r="U435" s="279" t="s">
        <v>126</v>
      </c>
      <c r="AA435"/>
      <c r="AB435"/>
      <c r="AC435" s="272"/>
      <c r="AD435" s="40"/>
    </row>
    <row r="436" spans="16:30" ht="10.5" customHeight="1">
      <c r="P436" s="150" t="s">
        <v>5848</v>
      </c>
      <c r="Q436" s="150"/>
      <c r="R436" s="98"/>
      <c r="S436" s="146"/>
      <c r="T436" s="279" t="s">
        <v>5849</v>
      </c>
      <c r="U436" s="279" t="s">
        <v>5056</v>
      </c>
      <c r="AA436"/>
      <c r="AB436"/>
      <c r="AC436" s="272"/>
      <c r="AD436" s="40"/>
    </row>
    <row r="437" spans="16:30" ht="10.5" customHeight="1">
      <c r="P437" s="150" t="s">
        <v>5850</v>
      </c>
      <c r="Q437" s="150"/>
      <c r="R437" s="98"/>
      <c r="S437" s="146"/>
      <c r="T437" s="146" t="s">
        <v>5851</v>
      </c>
      <c r="U437" s="146" t="s">
        <v>87</v>
      </c>
      <c r="AA437"/>
      <c r="AB437"/>
      <c r="AC437" s="40"/>
      <c r="AD437" s="40"/>
    </row>
    <row r="438" spans="16:30" ht="10.5" customHeight="1">
      <c r="P438" s="150" t="s">
        <v>5852</v>
      </c>
      <c r="Q438" s="150"/>
      <c r="R438" s="98"/>
      <c r="S438" s="146"/>
      <c r="T438" s="279" t="s">
        <v>5853</v>
      </c>
      <c r="U438" s="279" t="s">
        <v>117</v>
      </c>
      <c r="AA438"/>
      <c r="AB438"/>
      <c r="AC438" s="272"/>
      <c r="AD438" s="40"/>
    </row>
    <row r="439" spans="16:30" ht="10.5" customHeight="1">
      <c r="P439" s="150" t="s">
        <v>5854</v>
      </c>
      <c r="Q439" s="150"/>
      <c r="R439" s="98"/>
      <c r="S439" s="146"/>
      <c r="T439" s="146" t="s">
        <v>5855</v>
      </c>
      <c r="U439" s="146" t="s">
        <v>138</v>
      </c>
      <c r="AA439"/>
      <c r="AB439"/>
      <c r="AC439" s="40"/>
      <c r="AD439" s="40"/>
    </row>
    <row r="440" spans="16:30" ht="10.5" customHeight="1">
      <c r="P440" s="150" t="s">
        <v>5856</v>
      </c>
      <c r="Q440" s="150"/>
      <c r="R440" s="98"/>
      <c r="S440" s="146"/>
      <c r="T440" s="279" t="s">
        <v>120</v>
      </c>
      <c r="U440" s="279" t="s">
        <v>121</v>
      </c>
      <c r="AA440"/>
      <c r="AB440"/>
      <c r="AC440" s="272"/>
      <c r="AD440" s="40"/>
    </row>
    <row r="441" spans="16:30" ht="10.5" customHeight="1">
      <c r="P441" s="150" t="s">
        <v>5857</v>
      </c>
      <c r="Q441" s="150"/>
      <c r="R441" s="98"/>
      <c r="S441" s="146"/>
      <c r="T441" s="146" t="s">
        <v>5858</v>
      </c>
      <c r="U441" s="146" t="s">
        <v>5510</v>
      </c>
      <c r="AA441"/>
      <c r="AB441"/>
      <c r="AC441" s="40"/>
      <c r="AD441" s="40"/>
    </row>
    <row r="442" spans="16:30" ht="10.5" customHeight="1">
      <c r="P442" s="150" t="s">
        <v>5859</v>
      </c>
      <c r="Q442" s="150"/>
      <c r="R442" s="98"/>
      <c r="S442" s="146"/>
      <c r="T442" s="279" t="s">
        <v>5860</v>
      </c>
      <c r="U442" s="279" t="s">
        <v>112</v>
      </c>
      <c r="AA442"/>
      <c r="AB442"/>
      <c r="AC442" s="272"/>
      <c r="AD442" s="40"/>
    </row>
    <row r="443" spans="16:30" ht="10.5" customHeight="1">
      <c r="P443" s="150" t="s">
        <v>5861</v>
      </c>
      <c r="Q443" s="150"/>
      <c r="R443" s="98"/>
      <c r="S443" s="146"/>
      <c r="T443" s="279" t="s">
        <v>5862</v>
      </c>
      <c r="U443" s="279" t="s">
        <v>5256</v>
      </c>
      <c r="AA443"/>
      <c r="AB443"/>
      <c r="AC443" s="272"/>
      <c r="AD443" s="40"/>
    </row>
    <row r="444" spans="16:30" ht="10.5" customHeight="1">
      <c r="P444" s="150" t="s">
        <v>5863</v>
      </c>
      <c r="Q444" s="150"/>
      <c r="R444" s="98"/>
      <c r="S444" s="146"/>
      <c r="T444" s="279" t="s">
        <v>5864</v>
      </c>
      <c r="U444" s="279" t="s">
        <v>4937</v>
      </c>
      <c r="AA444"/>
      <c r="AB444"/>
      <c r="AC444" s="272"/>
      <c r="AD444" s="40"/>
    </row>
    <row r="445" spans="16:30" ht="10.5" customHeight="1">
      <c r="P445" s="150" t="s">
        <v>5865</v>
      </c>
      <c r="Q445" s="150"/>
      <c r="R445" s="98"/>
      <c r="S445" s="146"/>
      <c r="T445" s="279" t="s">
        <v>5866</v>
      </c>
      <c r="U445" s="279" t="s">
        <v>5581</v>
      </c>
      <c r="AA445"/>
      <c r="AB445"/>
      <c r="AC445" s="272"/>
      <c r="AD445" s="40"/>
    </row>
    <row r="446" spans="16:30" ht="10.5" customHeight="1">
      <c r="P446" s="150" t="s">
        <v>5867</v>
      </c>
      <c r="Q446" s="150"/>
      <c r="R446" s="98"/>
      <c r="S446" s="146"/>
      <c r="T446" s="279" t="s">
        <v>5868</v>
      </c>
      <c r="U446" s="279" t="s">
        <v>5028</v>
      </c>
      <c r="AA446"/>
      <c r="AB446"/>
      <c r="AC446" s="272"/>
      <c r="AD446" s="40"/>
    </row>
    <row r="447" spans="16:30" ht="10.5" customHeight="1">
      <c r="P447" s="150" t="s">
        <v>5869</v>
      </c>
      <c r="Q447" s="150"/>
      <c r="R447" s="98"/>
      <c r="S447" s="146"/>
      <c r="T447" s="279" t="s">
        <v>5870</v>
      </c>
      <c r="U447" s="279" t="s">
        <v>5004</v>
      </c>
      <c r="AA447"/>
      <c r="AB447"/>
      <c r="AC447" s="272"/>
      <c r="AD447" s="40"/>
    </row>
    <row r="448" spans="16:30" ht="10.5" customHeight="1">
      <c r="P448" s="150" t="s">
        <v>5871</v>
      </c>
      <c r="Q448" s="150"/>
      <c r="R448" s="98"/>
      <c r="S448" s="146"/>
      <c r="T448" s="279" t="s">
        <v>5872</v>
      </c>
      <c r="U448" s="279" t="s">
        <v>4893</v>
      </c>
      <c r="AA448"/>
      <c r="AB448"/>
      <c r="AC448" s="272"/>
      <c r="AD448" s="40"/>
    </row>
    <row r="449" spans="16:30" ht="10.5" customHeight="1">
      <c r="P449" s="150" t="s">
        <v>5873</v>
      </c>
      <c r="Q449" s="150"/>
      <c r="R449" s="98"/>
      <c r="S449" s="146"/>
      <c r="T449" s="279" t="s">
        <v>5874</v>
      </c>
      <c r="U449" s="279" t="s">
        <v>5014</v>
      </c>
      <c r="AA449"/>
      <c r="AB449"/>
      <c r="AC449" s="272"/>
      <c r="AD449" s="40"/>
    </row>
    <row r="450" spans="16:30" ht="10.5" customHeight="1">
      <c r="P450" s="150" t="s">
        <v>5875</v>
      </c>
      <c r="Q450" s="150"/>
      <c r="R450" s="98"/>
      <c r="S450" s="146"/>
      <c r="T450" s="279" t="s">
        <v>5876</v>
      </c>
      <c r="U450" s="279" t="s">
        <v>5009</v>
      </c>
      <c r="AA450"/>
      <c r="AB450"/>
      <c r="AC450" s="272"/>
      <c r="AD450" s="40"/>
    </row>
    <row r="451" spans="16:30" ht="10.5" customHeight="1">
      <c r="P451" s="150" t="s">
        <v>5877</v>
      </c>
      <c r="Q451" s="150"/>
      <c r="R451" s="98"/>
      <c r="S451" s="146"/>
      <c r="T451" s="279" t="s">
        <v>5878</v>
      </c>
      <c r="U451" s="279" t="s">
        <v>5323</v>
      </c>
      <c r="AA451"/>
      <c r="AB451"/>
      <c r="AC451" s="272"/>
      <c r="AD451" s="40"/>
    </row>
    <row r="452" spans="16:30" ht="10.5" customHeight="1">
      <c r="P452" s="150" t="s">
        <v>5879</v>
      </c>
      <c r="Q452" s="150"/>
      <c r="R452" s="98"/>
      <c r="S452" s="146"/>
      <c r="T452" s="310" t="s">
        <v>5880</v>
      </c>
      <c r="U452" s="279" t="s">
        <v>2114</v>
      </c>
      <c r="AA452"/>
      <c r="AB452"/>
      <c r="AC452" s="519"/>
      <c r="AD452" s="40"/>
    </row>
    <row r="453" spans="16:30" ht="10.5" customHeight="1">
      <c r="P453" s="150" t="s">
        <v>5881</v>
      </c>
      <c r="Q453" s="150"/>
      <c r="R453" s="98"/>
      <c r="S453" s="146"/>
      <c r="T453" s="279" t="s">
        <v>5882</v>
      </c>
      <c r="U453" s="279" t="s">
        <v>4888</v>
      </c>
      <c r="AA453"/>
      <c r="AB453"/>
      <c r="AC453" s="272"/>
      <c r="AD453" s="40"/>
    </row>
    <row r="454" spans="16:30" ht="10.5" customHeight="1">
      <c r="P454" s="150" t="s">
        <v>5883</v>
      </c>
      <c r="Q454" s="150"/>
      <c r="R454" s="98"/>
      <c r="S454" s="146"/>
      <c r="T454" s="279" t="s">
        <v>5884</v>
      </c>
      <c r="U454" s="279" t="s">
        <v>2114</v>
      </c>
      <c r="AA454"/>
      <c r="AB454"/>
      <c r="AC454" s="272"/>
      <c r="AD454" s="40"/>
    </row>
    <row r="455" spans="16:30" ht="10.5" customHeight="1">
      <c r="P455" s="150" t="s">
        <v>5885</v>
      </c>
      <c r="Q455" s="150"/>
      <c r="R455" s="98"/>
      <c r="S455" s="146"/>
      <c r="T455" s="279" t="s">
        <v>122</v>
      </c>
      <c r="U455" s="279" t="s">
        <v>123</v>
      </c>
      <c r="AA455"/>
      <c r="AB455"/>
      <c r="AC455" s="272"/>
      <c r="AD455" s="40"/>
    </row>
    <row r="456" spans="16:30" ht="10.5" customHeight="1">
      <c r="P456" s="150" t="s">
        <v>5886</v>
      </c>
      <c r="Q456" s="150"/>
      <c r="R456" s="98"/>
      <c r="S456" s="146"/>
      <c r="T456" s="279" t="s">
        <v>5887</v>
      </c>
      <c r="U456" s="279" t="s">
        <v>5519</v>
      </c>
      <c r="AA456"/>
      <c r="AB456"/>
      <c r="AC456" s="272"/>
      <c r="AD456" s="40"/>
    </row>
    <row r="457" spans="16:30" ht="10.5" customHeight="1">
      <c r="P457" s="150" t="s">
        <v>5888</v>
      </c>
      <c r="Q457" s="150"/>
      <c r="R457" s="98"/>
      <c r="S457" s="146"/>
      <c r="T457" s="146" t="s">
        <v>124</v>
      </c>
      <c r="U457" s="146" t="s">
        <v>89</v>
      </c>
      <c r="AA457"/>
      <c r="AB457"/>
      <c r="AC457" s="40"/>
      <c r="AD457" s="40"/>
    </row>
    <row r="458" spans="16:30" ht="10.5" customHeight="1">
      <c r="P458" s="150" t="s">
        <v>5889</v>
      </c>
      <c r="Q458" s="150"/>
      <c r="R458" s="98"/>
      <c r="S458" s="146"/>
      <c r="T458" s="279" t="s">
        <v>5890</v>
      </c>
      <c r="U458" s="279" t="s">
        <v>4942</v>
      </c>
      <c r="AA458"/>
      <c r="AB458"/>
      <c r="AC458" s="272"/>
      <c r="AD458" s="40"/>
    </row>
    <row r="459" spans="16:30" ht="10.5" customHeight="1">
      <c r="P459" s="150" t="s">
        <v>5891</v>
      </c>
      <c r="Q459" s="150"/>
      <c r="R459" s="98"/>
      <c r="S459" s="146"/>
      <c r="T459" s="279" t="s">
        <v>125</v>
      </c>
      <c r="U459" s="279" t="s">
        <v>126</v>
      </c>
      <c r="AA459"/>
      <c r="AB459"/>
      <c r="AC459" s="272"/>
      <c r="AD459" s="40"/>
    </row>
    <row r="460" spans="16:30" ht="10.5" customHeight="1">
      <c r="P460" s="150" t="s">
        <v>5892</v>
      </c>
      <c r="Q460" s="150"/>
      <c r="R460" s="98"/>
      <c r="S460" s="146"/>
      <c r="T460" s="279" t="s">
        <v>5893</v>
      </c>
      <c r="U460" s="279" t="s">
        <v>4942</v>
      </c>
      <c r="AA460"/>
      <c r="AB460"/>
      <c r="AC460" s="272"/>
      <c r="AD460" s="40"/>
    </row>
    <row r="461" spans="16:30" ht="10.5" customHeight="1">
      <c r="P461" s="150" t="s">
        <v>5894</v>
      </c>
      <c r="Q461" s="150"/>
      <c r="R461" s="98"/>
      <c r="S461" s="146"/>
      <c r="T461" s="279" t="s">
        <v>5009</v>
      </c>
      <c r="U461" s="279" t="s">
        <v>4968</v>
      </c>
      <c r="AA461"/>
      <c r="AB461"/>
      <c r="AC461" s="272"/>
      <c r="AD461" s="40"/>
    </row>
    <row r="462" spans="16:30" ht="10.5" customHeight="1">
      <c r="P462" s="150" t="s">
        <v>5895</v>
      </c>
      <c r="Q462" s="150"/>
      <c r="R462" s="98"/>
      <c r="S462" s="146"/>
      <c r="T462" s="279" t="s">
        <v>5896</v>
      </c>
      <c r="U462" s="279" t="s">
        <v>5554</v>
      </c>
      <c r="AA462"/>
      <c r="AB462"/>
      <c r="AC462" s="272"/>
      <c r="AD462" s="40"/>
    </row>
    <row r="463" spans="16:30" ht="10.5" customHeight="1">
      <c r="P463" s="150" t="s">
        <v>5897</v>
      </c>
      <c r="Q463" s="150"/>
      <c r="R463" s="98"/>
      <c r="S463" s="146"/>
      <c r="T463" s="279" t="s">
        <v>5898</v>
      </c>
      <c r="U463" s="279" t="s">
        <v>5135</v>
      </c>
      <c r="AA463"/>
      <c r="AB463"/>
      <c r="AC463" s="272"/>
      <c r="AD463" s="40"/>
    </row>
    <row r="464" spans="16:30" ht="10.5" customHeight="1">
      <c r="P464" s="150" t="s">
        <v>5899</v>
      </c>
      <c r="Q464" s="150"/>
      <c r="R464" s="98"/>
      <c r="S464" s="146"/>
      <c r="T464" s="279" t="s">
        <v>5296</v>
      </c>
      <c r="U464" s="279" t="s">
        <v>5460</v>
      </c>
      <c r="AA464"/>
      <c r="AB464"/>
      <c r="AC464" s="272"/>
      <c r="AD464" s="40"/>
    </row>
    <row r="465" spans="16:30" ht="10.5" customHeight="1">
      <c r="P465" s="150" t="s">
        <v>5900</v>
      </c>
      <c r="Q465" s="150"/>
      <c r="R465" s="98"/>
      <c r="S465" s="146"/>
      <c r="T465" s="279" t="s">
        <v>5073</v>
      </c>
      <c r="U465" s="279" t="s">
        <v>5009</v>
      </c>
      <c r="AA465"/>
      <c r="AB465"/>
      <c r="AC465" s="272"/>
      <c r="AD465" s="40"/>
    </row>
    <row r="466" spans="16:30" ht="10.5" customHeight="1">
      <c r="P466" s="150" t="s">
        <v>5901</v>
      </c>
      <c r="Q466" s="150"/>
      <c r="R466" s="98"/>
      <c r="S466" s="146"/>
      <c r="T466" s="146" t="s">
        <v>5902</v>
      </c>
      <c r="U466" s="146" t="s">
        <v>5589</v>
      </c>
      <c r="AA466"/>
      <c r="AB466"/>
      <c r="AC466" s="40"/>
      <c r="AD466" s="40"/>
    </row>
    <row r="467" spans="16:30" ht="10.5" customHeight="1">
      <c r="P467" s="150" t="s">
        <v>5903</v>
      </c>
      <c r="Q467" s="150"/>
      <c r="R467" s="98"/>
      <c r="S467" s="146"/>
      <c r="T467" s="146" t="s">
        <v>5904</v>
      </c>
      <c r="U467" s="146" t="s">
        <v>4968</v>
      </c>
      <c r="AA467"/>
      <c r="AB467"/>
      <c r="AC467" s="40"/>
      <c r="AD467" s="40"/>
    </row>
    <row r="468" spans="16:30" ht="10.5" customHeight="1">
      <c r="P468" s="150" t="s">
        <v>5905</v>
      </c>
      <c r="Q468" s="150"/>
      <c r="R468" s="98"/>
      <c r="S468" s="146"/>
      <c r="T468" s="279" t="s">
        <v>5906</v>
      </c>
      <c r="U468" s="279" t="s">
        <v>5150</v>
      </c>
      <c r="AA468"/>
      <c r="AB468"/>
      <c r="AC468" s="272"/>
      <c r="AD468" s="40"/>
    </row>
    <row r="469" spans="16:30" ht="10.5" customHeight="1">
      <c r="P469" s="150" t="s">
        <v>5907</v>
      </c>
      <c r="Q469" s="150"/>
      <c r="R469" s="98"/>
      <c r="S469" s="146"/>
      <c r="T469" s="279" t="s">
        <v>5908</v>
      </c>
      <c r="U469" s="279" t="s">
        <v>5619</v>
      </c>
      <c r="AA469"/>
      <c r="AB469"/>
      <c r="AC469" s="272"/>
      <c r="AD469" s="40"/>
    </row>
    <row r="470" spans="16:30" ht="10.5" customHeight="1">
      <c r="P470" s="150" t="s">
        <v>5909</v>
      </c>
      <c r="Q470" s="150"/>
      <c r="R470" s="98"/>
      <c r="S470" s="146"/>
      <c r="T470" s="279" t="s">
        <v>5910</v>
      </c>
      <c r="U470" s="279" t="s">
        <v>142</v>
      </c>
      <c r="AA470"/>
      <c r="AB470"/>
      <c r="AC470" s="272"/>
      <c r="AD470" s="40"/>
    </row>
    <row r="471" spans="16:30" ht="10.5" customHeight="1">
      <c r="P471" s="150" t="s">
        <v>5911</v>
      </c>
      <c r="Q471" s="150"/>
      <c r="R471" s="98"/>
      <c r="S471" s="146"/>
      <c r="T471" s="279" t="s">
        <v>5912</v>
      </c>
      <c r="U471" s="279" t="s">
        <v>89</v>
      </c>
      <c r="AA471"/>
      <c r="AB471"/>
      <c r="AC471" s="272"/>
      <c r="AD471" s="40"/>
    </row>
    <row r="472" spans="16:30" ht="10.5" customHeight="1">
      <c r="P472" s="150" t="s">
        <v>5913</v>
      </c>
      <c r="Q472" s="150"/>
      <c r="R472" s="98"/>
      <c r="S472" s="146"/>
      <c r="T472" s="279" t="s">
        <v>5914</v>
      </c>
      <c r="U472" s="279" t="s">
        <v>5538</v>
      </c>
      <c r="AA472"/>
      <c r="AB472"/>
      <c r="AC472" s="272"/>
      <c r="AD472" s="40"/>
    </row>
    <row r="473" spans="16:30" ht="10.5" customHeight="1">
      <c r="P473" s="150" t="s">
        <v>5915</v>
      </c>
      <c r="Q473" s="150"/>
      <c r="R473" s="98"/>
      <c r="S473" s="146"/>
      <c r="T473" s="279" t="s">
        <v>5916</v>
      </c>
      <c r="U473" s="279" t="s">
        <v>109</v>
      </c>
      <c r="AA473"/>
      <c r="AB473"/>
      <c r="AC473" s="272"/>
      <c r="AD473" s="40"/>
    </row>
    <row r="474" spans="16:30" ht="10.5" customHeight="1">
      <c r="P474" s="150" t="s">
        <v>5917</v>
      </c>
      <c r="Q474" s="150"/>
      <c r="R474" s="98"/>
      <c r="S474" s="146"/>
      <c r="T474" s="279" t="s">
        <v>5918</v>
      </c>
      <c r="U474" s="279" t="s">
        <v>4961</v>
      </c>
      <c r="AA474"/>
      <c r="AB474"/>
      <c r="AC474" s="272"/>
      <c r="AD474" s="40"/>
    </row>
    <row r="475" spans="16:30" ht="10.5" customHeight="1">
      <c r="P475" s="150" t="s">
        <v>5919</v>
      </c>
      <c r="Q475" s="150"/>
      <c r="R475" s="98"/>
      <c r="S475" s="146"/>
      <c r="T475" s="279" t="s">
        <v>127</v>
      </c>
      <c r="U475" s="279" t="s">
        <v>128</v>
      </c>
      <c r="AA475"/>
      <c r="AB475"/>
      <c r="AC475" s="272"/>
      <c r="AD475" s="40"/>
    </row>
    <row r="476" spans="16:30" ht="10.5" customHeight="1">
      <c r="P476" s="150" t="s">
        <v>5920</v>
      </c>
      <c r="Q476" s="150"/>
      <c r="R476" s="98"/>
      <c r="S476" s="146"/>
      <c r="T476" s="279" t="s">
        <v>5921</v>
      </c>
      <c r="U476" s="279" t="s">
        <v>128</v>
      </c>
      <c r="AA476"/>
      <c r="AB476"/>
      <c r="AC476" s="272"/>
      <c r="AD476" s="40"/>
    </row>
    <row r="477" spans="16:30" ht="10.5" customHeight="1">
      <c r="P477" s="150" t="s">
        <v>5922</v>
      </c>
      <c r="Q477" s="150"/>
      <c r="R477" s="98"/>
      <c r="S477" s="146"/>
      <c r="T477" s="146" t="s">
        <v>5923</v>
      </c>
      <c r="U477" s="146" t="s">
        <v>4883</v>
      </c>
      <c r="AA477"/>
      <c r="AB477"/>
      <c r="AC477" s="40"/>
      <c r="AD477" s="40"/>
    </row>
    <row r="478" spans="16:30" ht="10.5" customHeight="1">
      <c r="P478" s="150" t="s">
        <v>5924</v>
      </c>
      <c r="Q478" s="150"/>
      <c r="R478" s="98"/>
      <c r="S478" s="146"/>
      <c r="T478" s="279" t="s">
        <v>5925</v>
      </c>
      <c r="U478" s="279" t="s">
        <v>4901</v>
      </c>
      <c r="AA478"/>
      <c r="AB478"/>
      <c r="AC478" s="272"/>
      <c r="AD478" s="40"/>
    </row>
    <row r="479" spans="16:30" ht="10.5" customHeight="1">
      <c r="P479" s="150" t="s">
        <v>5926</v>
      </c>
      <c r="Q479" s="150"/>
      <c r="R479" s="98"/>
      <c r="S479" s="146"/>
      <c r="T479" s="279" t="s">
        <v>5927</v>
      </c>
      <c r="U479" s="279" t="s">
        <v>5085</v>
      </c>
      <c r="AA479"/>
      <c r="AB479"/>
      <c r="AC479" s="272"/>
      <c r="AD479" s="40"/>
    </row>
    <row r="480" spans="16:30" ht="10.5" customHeight="1">
      <c r="P480" s="150" t="s">
        <v>5928</v>
      </c>
      <c r="Q480" s="150"/>
      <c r="R480" s="98"/>
      <c r="S480" s="146"/>
      <c r="T480" s="279" t="s">
        <v>5929</v>
      </c>
      <c r="U480" s="279" t="s">
        <v>92</v>
      </c>
      <c r="AA480"/>
      <c r="AB480"/>
      <c r="AC480" s="272"/>
      <c r="AD480" s="40"/>
    </row>
    <row r="481" spans="16:30" ht="10.5" customHeight="1">
      <c r="P481" s="150" t="s">
        <v>5930</v>
      </c>
      <c r="Q481" s="150"/>
      <c r="R481" s="98"/>
      <c r="S481" s="146"/>
      <c r="T481" s="279" t="s">
        <v>5931</v>
      </c>
      <c r="U481" s="279" t="s">
        <v>5581</v>
      </c>
      <c r="AA481"/>
      <c r="AB481"/>
      <c r="AC481" s="272"/>
      <c r="AD481" s="40"/>
    </row>
    <row r="482" spans="16:30" ht="10.5" customHeight="1">
      <c r="P482" s="150" t="s">
        <v>5932</v>
      </c>
      <c r="Q482" s="150"/>
      <c r="R482" s="98"/>
      <c r="S482" s="146"/>
      <c r="T482" s="279" t="s">
        <v>5933</v>
      </c>
      <c r="U482" s="279" t="s">
        <v>89</v>
      </c>
      <c r="AA482"/>
      <c r="AB482"/>
      <c r="AC482" s="272"/>
      <c r="AD482" s="40"/>
    </row>
    <row r="483" spans="16:30" ht="10.5" customHeight="1">
      <c r="P483" s="150" t="s">
        <v>5934</v>
      </c>
      <c r="Q483" s="150"/>
      <c r="R483" s="98"/>
      <c r="S483" s="146"/>
      <c r="T483" s="279" t="s">
        <v>5935</v>
      </c>
      <c r="U483" s="279" t="s">
        <v>140</v>
      </c>
      <c r="AA483"/>
      <c r="AB483"/>
      <c r="AC483" s="272"/>
      <c r="AD483" s="40"/>
    </row>
    <row r="484" spans="16:30" ht="10.5" customHeight="1">
      <c r="P484" s="150" t="s">
        <v>5936</v>
      </c>
      <c r="Q484" s="150"/>
      <c r="R484" s="98"/>
      <c r="S484" s="146"/>
      <c r="T484" s="279" t="s">
        <v>5937</v>
      </c>
      <c r="U484" s="279" t="s">
        <v>5335</v>
      </c>
      <c r="AA484"/>
      <c r="AB484"/>
      <c r="AC484" s="272"/>
      <c r="AD484" s="40"/>
    </row>
    <row r="485" spans="16:30" ht="10.5" customHeight="1">
      <c r="P485" s="150" t="s">
        <v>5938</v>
      </c>
      <c r="Q485" s="150"/>
      <c r="R485" s="98"/>
      <c r="S485" s="146"/>
      <c r="T485" s="279" t="s">
        <v>129</v>
      </c>
      <c r="U485" s="279" t="s">
        <v>123</v>
      </c>
      <c r="AA485"/>
      <c r="AB485"/>
      <c r="AC485" s="272"/>
      <c r="AD485" s="40"/>
    </row>
    <row r="486" spans="16:30" ht="10.5" customHeight="1">
      <c r="P486" s="150" t="s">
        <v>5939</v>
      </c>
      <c r="Q486" s="150"/>
      <c r="R486" s="98"/>
      <c r="S486" s="146"/>
      <c r="T486" s="279" t="s">
        <v>130</v>
      </c>
      <c r="U486" s="279" t="s">
        <v>131</v>
      </c>
      <c r="AA486"/>
      <c r="AB486"/>
      <c r="AC486" s="272"/>
      <c r="AD486" s="40"/>
    </row>
    <row r="487" spans="16:30" ht="10.5" customHeight="1">
      <c r="P487" s="150" t="s">
        <v>5940</v>
      </c>
      <c r="Q487" s="150"/>
      <c r="R487" s="98"/>
      <c r="S487" s="146"/>
      <c r="T487" s="279" t="s">
        <v>5941</v>
      </c>
      <c r="U487" s="279" t="s">
        <v>5193</v>
      </c>
      <c r="AA487"/>
      <c r="AB487"/>
      <c r="AC487" s="272"/>
      <c r="AD487" s="40"/>
    </row>
    <row r="488" spans="16:30" ht="10.5" customHeight="1">
      <c r="P488" s="150" t="s">
        <v>5942</v>
      </c>
      <c r="Q488" s="150"/>
      <c r="R488" s="98"/>
      <c r="S488" s="146"/>
      <c r="T488" s="279" t="s">
        <v>5943</v>
      </c>
      <c r="U488" s="279" t="s">
        <v>5133</v>
      </c>
      <c r="AA488"/>
      <c r="AB488"/>
      <c r="AC488" s="272"/>
      <c r="AD488" s="40"/>
    </row>
    <row r="489" spans="16:30" ht="10.5" customHeight="1">
      <c r="P489" s="150" t="s">
        <v>5944</v>
      </c>
      <c r="Q489" s="150"/>
      <c r="R489" s="98"/>
      <c r="S489" s="146"/>
      <c r="T489" s="279" t="s">
        <v>5945</v>
      </c>
      <c r="U489" s="279" t="s">
        <v>4975</v>
      </c>
      <c r="AA489"/>
      <c r="AB489"/>
      <c r="AC489" s="272"/>
      <c r="AD489" s="40"/>
    </row>
    <row r="490" spans="16:30" ht="10.5" customHeight="1">
      <c r="P490" s="150" t="s">
        <v>5946</v>
      </c>
      <c r="Q490" s="150"/>
      <c r="R490" s="98"/>
      <c r="S490" s="146"/>
      <c r="T490" s="279" t="s">
        <v>5947</v>
      </c>
      <c r="U490" s="279" t="s">
        <v>5346</v>
      </c>
      <c r="AA490"/>
      <c r="AB490"/>
      <c r="AC490" s="272"/>
      <c r="AD490" s="40"/>
    </row>
    <row r="491" spans="16:30" ht="10.5" customHeight="1">
      <c r="P491" s="150" t="s">
        <v>5948</v>
      </c>
      <c r="Q491" s="150"/>
      <c r="R491" s="98"/>
      <c r="S491" s="146"/>
      <c r="T491" s="279" t="s">
        <v>5949</v>
      </c>
      <c r="U491" s="279" t="s">
        <v>4891</v>
      </c>
      <c r="AA491"/>
      <c r="AB491"/>
      <c r="AC491" s="272"/>
      <c r="AD491" s="40"/>
    </row>
    <row r="492" spans="16:30" ht="10.5" customHeight="1">
      <c r="P492" s="150" t="s">
        <v>5950</v>
      </c>
      <c r="Q492" s="150"/>
      <c r="R492" s="98"/>
      <c r="S492" s="146"/>
      <c r="T492" s="279" t="s">
        <v>5951</v>
      </c>
      <c r="U492" s="279" t="s">
        <v>4980</v>
      </c>
      <c r="AA492"/>
      <c r="AB492"/>
      <c r="AC492" s="272"/>
      <c r="AD492" s="40"/>
    </row>
    <row r="493" spans="16:30" ht="10.5" customHeight="1">
      <c r="P493" s="150" t="s">
        <v>5952</v>
      </c>
      <c r="Q493" s="150"/>
      <c r="R493" s="98"/>
      <c r="S493" s="146"/>
      <c r="T493" s="279" t="s">
        <v>5953</v>
      </c>
      <c r="U493" s="279" t="s">
        <v>5026</v>
      </c>
      <c r="AA493"/>
      <c r="AB493"/>
      <c r="AC493" s="272"/>
      <c r="AD493" s="40"/>
    </row>
    <row r="494" spans="16:30" ht="10.5" customHeight="1">
      <c r="P494" s="150" t="s">
        <v>5954</v>
      </c>
      <c r="Q494" s="150"/>
      <c r="R494" s="98"/>
      <c r="S494" s="146"/>
      <c r="T494" s="279" t="s">
        <v>5955</v>
      </c>
      <c r="U494" s="279" t="s">
        <v>5133</v>
      </c>
      <c r="AA494"/>
      <c r="AB494"/>
      <c r="AC494" s="272"/>
      <c r="AD494" s="40"/>
    </row>
    <row r="495" spans="16:30" ht="10.5" customHeight="1">
      <c r="P495" s="150" t="s">
        <v>5956</v>
      </c>
      <c r="Q495" s="150"/>
      <c r="R495" s="98"/>
      <c r="S495" s="146"/>
      <c r="T495" s="146" t="s">
        <v>5957</v>
      </c>
      <c r="U495" s="146" t="s">
        <v>5120</v>
      </c>
      <c r="AA495"/>
      <c r="AB495"/>
      <c r="AC495" s="40"/>
      <c r="AD495" s="40"/>
    </row>
    <row r="496" spans="16:30" ht="10.5" customHeight="1">
      <c r="P496" s="150" t="s">
        <v>5958</v>
      </c>
      <c r="Q496" s="150"/>
      <c r="R496" s="98"/>
      <c r="S496" s="146"/>
      <c r="T496" s="279" t="s">
        <v>132</v>
      </c>
      <c r="U496" s="279" t="s">
        <v>119</v>
      </c>
      <c r="AA496"/>
      <c r="AB496"/>
      <c r="AC496" s="272"/>
      <c r="AD496" s="40"/>
    </row>
    <row r="497" spans="16:30" ht="10.5" customHeight="1">
      <c r="P497" s="150" t="s">
        <v>5959</v>
      </c>
      <c r="Q497" s="150"/>
      <c r="R497" s="98"/>
      <c r="S497" s="146"/>
      <c r="T497" s="279" t="s">
        <v>5960</v>
      </c>
      <c r="U497" s="279" t="s">
        <v>5356</v>
      </c>
      <c r="AA497"/>
      <c r="AB497"/>
      <c r="AC497" s="272"/>
      <c r="AD497" s="40"/>
    </row>
    <row r="498" spans="16:30" ht="10.5" customHeight="1">
      <c r="P498" s="150" t="s">
        <v>5961</v>
      </c>
      <c r="Q498" s="150"/>
      <c r="R498" s="98"/>
      <c r="S498" s="146"/>
      <c r="T498" s="279" t="s">
        <v>5962</v>
      </c>
      <c r="U498" s="279" t="s">
        <v>92</v>
      </c>
      <c r="AA498"/>
      <c r="AB498"/>
      <c r="AC498" s="272"/>
      <c r="AD498" s="40"/>
    </row>
    <row r="499" spans="16:30" ht="10.5" customHeight="1">
      <c r="P499" s="150" t="s">
        <v>5963</v>
      </c>
      <c r="Q499" s="150"/>
      <c r="R499" s="98"/>
      <c r="S499" s="146"/>
      <c r="T499" s="279" t="s">
        <v>133</v>
      </c>
      <c r="U499" s="279" t="s">
        <v>134</v>
      </c>
      <c r="AA499"/>
      <c r="AB499"/>
      <c r="AC499" s="272"/>
      <c r="AD499" s="40"/>
    </row>
    <row r="500" spans="16:30" ht="10.5" customHeight="1">
      <c r="P500" s="150" t="s">
        <v>5964</v>
      </c>
      <c r="Q500" s="150"/>
      <c r="R500" s="98"/>
      <c r="S500" s="146"/>
      <c r="T500" s="279" t="s">
        <v>2112</v>
      </c>
      <c r="U500" s="279" t="s">
        <v>84</v>
      </c>
      <c r="AA500"/>
      <c r="AB500"/>
      <c r="AC500" s="272"/>
      <c r="AD500" s="40"/>
    </row>
    <row r="501" spans="16:30" ht="10.5" customHeight="1">
      <c r="P501" s="150" t="s">
        <v>5965</v>
      </c>
      <c r="Q501" s="150"/>
      <c r="R501" s="98"/>
      <c r="S501" s="146"/>
      <c r="T501" s="279" t="s">
        <v>5966</v>
      </c>
      <c r="U501" s="279" t="s">
        <v>87</v>
      </c>
      <c r="AA501"/>
      <c r="AB501"/>
      <c r="AC501" s="272"/>
      <c r="AD501" s="40"/>
    </row>
    <row r="502" spans="16:30" ht="10.5" customHeight="1">
      <c r="P502" s="150" t="s">
        <v>5967</v>
      </c>
      <c r="Q502" s="150"/>
      <c r="R502" s="98"/>
      <c r="S502" s="146"/>
      <c r="T502" s="279" t="s">
        <v>5968</v>
      </c>
      <c r="U502" s="279" t="s">
        <v>5150</v>
      </c>
      <c r="AA502"/>
      <c r="AB502"/>
      <c r="AC502" s="272"/>
      <c r="AD502" s="40"/>
    </row>
    <row r="503" spans="16:30" ht="10.5" customHeight="1">
      <c r="P503" s="150" t="s">
        <v>5969</v>
      </c>
      <c r="Q503" s="150"/>
      <c r="R503" s="98"/>
      <c r="S503" s="146"/>
      <c r="T503" s="279" t="s">
        <v>5970</v>
      </c>
      <c r="U503" s="279" t="s">
        <v>5401</v>
      </c>
      <c r="AA503"/>
      <c r="AB503"/>
      <c r="AC503" s="272"/>
      <c r="AD503" s="40"/>
    </row>
    <row r="504" spans="16:30" ht="10.5" customHeight="1">
      <c r="P504" s="150" t="s">
        <v>5971</v>
      </c>
      <c r="Q504" s="150"/>
      <c r="R504" s="98"/>
      <c r="S504" s="146"/>
      <c r="T504" s="146" t="s">
        <v>5972</v>
      </c>
      <c r="U504" s="146" t="s">
        <v>92</v>
      </c>
      <c r="AA504"/>
      <c r="AB504"/>
      <c r="AC504" s="40"/>
      <c r="AD504" s="40"/>
    </row>
    <row r="505" spans="16:30" ht="10.5" customHeight="1">
      <c r="P505" s="150" t="s">
        <v>5973</v>
      </c>
      <c r="Q505" s="150"/>
      <c r="R505" s="98"/>
      <c r="S505" s="146"/>
      <c r="T505" s="279" t="s">
        <v>5974</v>
      </c>
      <c r="U505" s="279" t="s">
        <v>5073</v>
      </c>
      <c r="AA505"/>
      <c r="AB505"/>
      <c r="AC505" s="272"/>
      <c r="AD505" s="40"/>
    </row>
    <row r="506" spans="16:30" ht="10.5" customHeight="1">
      <c r="P506" s="150" t="s">
        <v>5975</v>
      </c>
      <c r="Q506" s="150"/>
      <c r="R506" s="98"/>
      <c r="S506" s="146"/>
      <c r="T506" s="279" t="s">
        <v>5976</v>
      </c>
      <c r="U506" s="279" t="s">
        <v>89</v>
      </c>
      <c r="AA506"/>
      <c r="AB506"/>
      <c r="AC506" s="272"/>
      <c r="AD506" s="40"/>
    </row>
    <row r="507" spans="16:30" ht="10.5" customHeight="1">
      <c r="P507" s="150" t="s">
        <v>5977</v>
      </c>
      <c r="Q507" s="150"/>
      <c r="R507" s="98"/>
      <c r="S507" s="146"/>
      <c r="T507" s="279" t="s">
        <v>5978</v>
      </c>
      <c r="U507" s="279" t="s">
        <v>5363</v>
      </c>
      <c r="AA507"/>
      <c r="AB507"/>
      <c r="AC507" s="272"/>
      <c r="AD507" s="40"/>
    </row>
    <row r="508" spans="16:30" ht="10.5" customHeight="1">
      <c r="P508" s="150" t="s">
        <v>5979</v>
      </c>
      <c r="Q508" s="150"/>
      <c r="R508" s="98"/>
      <c r="S508" s="146"/>
      <c r="T508" s="279" t="s">
        <v>5980</v>
      </c>
      <c r="U508" s="279" t="s">
        <v>5245</v>
      </c>
      <c r="AA508"/>
      <c r="AB508"/>
      <c r="AC508" s="272"/>
      <c r="AD508" s="40"/>
    </row>
    <row r="509" spans="16:30" ht="10.5" customHeight="1">
      <c r="P509" s="150" t="s">
        <v>5981</v>
      </c>
      <c r="Q509" s="150"/>
      <c r="R509" s="98"/>
      <c r="S509" s="146"/>
      <c r="T509" s="279" t="s">
        <v>5982</v>
      </c>
      <c r="U509" s="279" t="s">
        <v>5554</v>
      </c>
      <c r="AA509"/>
      <c r="AB509"/>
      <c r="AC509" s="272"/>
      <c r="AD509" s="40"/>
    </row>
    <row r="510" spans="16:30" ht="10.5" customHeight="1">
      <c r="P510" s="150" t="s">
        <v>5983</v>
      </c>
      <c r="Q510" s="150"/>
      <c r="R510" s="98"/>
      <c r="S510" s="146"/>
      <c r="T510" s="279" t="s">
        <v>5372</v>
      </c>
      <c r="U510" s="279" t="s">
        <v>5531</v>
      </c>
      <c r="AA510"/>
      <c r="AB510"/>
      <c r="AC510" s="272"/>
      <c r="AD510" s="40"/>
    </row>
    <row r="511" spans="16:30" ht="10.5" customHeight="1">
      <c r="P511" s="150" t="s">
        <v>5984</v>
      </c>
      <c r="Q511" s="150"/>
      <c r="R511" s="98"/>
      <c r="S511" s="146"/>
      <c r="T511" s="279" t="s">
        <v>5985</v>
      </c>
      <c r="U511" s="279" t="s">
        <v>5401</v>
      </c>
      <c r="AA511"/>
      <c r="AB511"/>
      <c r="AC511" s="272"/>
      <c r="AD511" s="40"/>
    </row>
    <row r="512" spans="16:30" ht="10.5" customHeight="1">
      <c r="P512" s="150" t="s">
        <v>5986</v>
      </c>
      <c r="Q512" s="150"/>
      <c r="R512" s="98"/>
      <c r="S512" s="146"/>
      <c r="T512" s="279" t="s">
        <v>5987</v>
      </c>
      <c r="U512" s="279" t="s">
        <v>5021</v>
      </c>
      <c r="AA512"/>
      <c r="AB512"/>
      <c r="AC512" s="272"/>
      <c r="AD512" s="40"/>
    </row>
    <row r="513" spans="16:30" ht="10.5" customHeight="1">
      <c r="P513" s="150" t="s">
        <v>5988</v>
      </c>
      <c r="Q513" s="150"/>
      <c r="R513" s="98"/>
      <c r="S513" s="146"/>
      <c r="T513" s="279" t="s">
        <v>5989</v>
      </c>
      <c r="U513" s="279" t="s">
        <v>5568</v>
      </c>
      <c r="AA513"/>
      <c r="AB513"/>
      <c r="AC513" s="272"/>
      <c r="AD513" s="40"/>
    </row>
    <row r="514" spans="16:30" ht="10.5" customHeight="1">
      <c r="P514" s="150" t="s">
        <v>5990</v>
      </c>
      <c r="Q514" s="150"/>
      <c r="R514" s="98"/>
      <c r="S514" s="146"/>
      <c r="T514" s="279" t="s">
        <v>135</v>
      </c>
      <c r="U514" s="279" t="s">
        <v>109</v>
      </c>
      <c r="AA514"/>
      <c r="AB514"/>
      <c r="AC514" s="272"/>
      <c r="AD514" s="40"/>
    </row>
    <row r="515" spans="16:30" ht="10.5" customHeight="1">
      <c r="P515" s="150" t="s">
        <v>5991</v>
      </c>
      <c r="Q515" s="150"/>
      <c r="R515" s="98"/>
      <c r="S515" s="146"/>
      <c r="T515" s="279" t="s">
        <v>4888</v>
      </c>
      <c r="U515" s="279" t="s">
        <v>4923</v>
      </c>
      <c r="AA515"/>
      <c r="AB515"/>
      <c r="AC515" s="272"/>
      <c r="AD515" s="40"/>
    </row>
    <row r="516" spans="16:30" ht="10.5" customHeight="1">
      <c r="P516" s="150" t="s">
        <v>5992</v>
      </c>
      <c r="Q516" s="150"/>
      <c r="R516" s="98"/>
      <c r="S516" s="146"/>
      <c r="T516" s="279" t="s">
        <v>2114</v>
      </c>
      <c r="U516" s="279" t="s">
        <v>5228</v>
      </c>
      <c r="AA516"/>
      <c r="AB516"/>
      <c r="AC516" s="272"/>
      <c r="AD516" s="40"/>
    </row>
    <row r="517" spans="16:30" ht="10.5" customHeight="1">
      <c r="P517" s="150" t="s">
        <v>5993</v>
      </c>
      <c r="Q517" s="150"/>
      <c r="R517" s="98"/>
      <c r="S517" s="146"/>
      <c r="T517" s="279" t="s">
        <v>5994</v>
      </c>
      <c r="U517" s="279" t="s">
        <v>5505</v>
      </c>
      <c r="AA517"/>
      <c r="AB517"/>
      <c r="AC517" s="272"/>
      <c r="AD517" s="40"/>
    </row>
    <row r="518" spans="16:30" ht="10.5" customHeight="1">
      <c r="P518" s="150" t="s">
        <v>5995</v>
      </c>
      <c r="Q518" s="150"/>
      <c r="R518" s="98"/>
      <c r="S518" s="146"/>
      <c r="T518" s="279" t="s">
        <v>5996</v>
      </c>
      <c r="U518" s="279" t="s">
        <v>5401</v>
      </c>
      <c r="AA518"/>
      <c r="AB518"/>
      <c r="AC518" s="272"/>
      <c r="AD518" s="40"/>
    </row>
    <row r="519" spans="16:30" ht="10.5" customHeight="1">
      <c r="P519" s="150" t="s">
        <v>5997</v>
      </c>
      <c r="Q519" s="150"/>
      <c r="R519" s="98"/>
      <c r="S519" s="146"/>
      <c r="T519" s="279" t="s">
        <v>5998</v>
      </c>
      <c r="U519" s="279" t="s">
        <v>5440</v>
      </c>
      <c r="AA519"/>
      <c r="AB519"/>
      <c r="AC519" s="272"/>
      <c r="AD519" s="40"/>
    </row>
    <row r="520" spans="16:30" ht="10.5" customHeight="1">
      <c r="P520" s="150" t="s">
        <v>5999</v>
      </c>
      <c r="Q520" s="150"/>
      <c r="R520" s="98"/>
      <c r="S520" s="146"/>
      <c r="T520" s="279" t="s">
        <v>6000</v>
      </c>
      <c r="U520" s="279" t="s">
        <v>109</v>
      </c>
      <c r="AA520"/>
      <c r="AB520"/>
      <c r="AC520" s="272"/>
      <c r="AD520" s="40"/>
    </row>
    <row r="521" spans="16:30" ht="10.5" customHeight="1">
      <c r="P521" s="150" t="s">
        <v>6001</v>
      </c>
      <c r="Q521" s="150"/>
      <c r="R521" s="98"/>
      <c r="S521" s="146"/>
      <c r="T521" s="310" t="s">
        <v>6002</v>
      </c>
      <c r="U521" s="279" t="s">
        <v>4888</v>
      </c>
      <c r="AA521"/>
      <c r="AB521"/>
      <c r="AC521" s="519"/>
      <c r="AD521" s="40"/>
    </row>
    <row r="522" spans="16:30" ht="10.5" customHeight="1">
      <c r="P522" s="150" t="s">
        <v>6003</v>
      </c>
      <c r="Q522" s="150"/>
      <c r="R522" s="98"/>
      <c r="S522" s="146"/>
      <c r="T522" s="310" t="s">
        <v>6004</v>
      </c>
      <c r="U522" s="279" t="s">
        <v>5068</v>
      </c>
      <c r="AA522"/>
      <c r="AB522"/>
      <c r="AC522" s="519"/>
      <c r="AD522" s="40"/>
    </row>
    <row r="523" spans="16:30" ht="10.5" customHeight="1">
      <c r="P523" s="150" t="s">
        <v>6005</v>
      </c>
      <c r="Q523" s="150"/>
      <c r="R523" s="98"/>
      <c r="S523" s="146"/>
      <c r="T523" s="279" t="s">
        <v>136</v>
      </c>
      <c r="U523" s="279" t="s">
        <v>106</v>
      </c>
      <c r="AA523"/>
      <c r="AB523"/>
      <c r="AC523" s="272"/>
      <c r="AD523" s="40"/>
    </row>
    <row r="524" spans="16:30" ht="10.5" customHeight="1">
      <c r="P524" s="150" t="s">
        <v>6006</v>
      </c>
      <c r="Q524" s="150"/>
      <c r="R524" s="98"/>
      <c r="S524" s="146"/>
      <c r="T524" s="279" t="s">
        <v>6007</v>
      </c>
      <c r="U524" s="279" t="s">
        <v>5073</v>
      </c>
      <c r="AA524"/>
      <c r="AB524"/>
      <c r="AC524" s="272"/>
      <c r="AD524" s="40"/>
    </row>
    <row r="525" spans="16:30" ht="10.5" customHeight="1">
      <c r="P525" s="150" t="s">
        <v>6008</v>
      </c>
      <c r="Q525" s="150"/>
      <c r="R525" s="98"/>
      <c r="S525" s="146"/>
      <c r="T525" s="279" t="s">
        <v>6009</v>
      </c>
      <c r="U525" s="279" t="s">
        <v>5026</v>
      </c>
      <c r="AA525"/>
      <c r="AB525"/>
      <c r="AC525" s="272"/>
      <c r="AD525" s="40"/>
    </row>
    <row r="526" spans="16:30" ht="10.5" customHeight="1">
      <c r="P526" s="150" t="s">
        <v>6010</v>
      </c>
      <c r="Q526" s="150"/>
      <c r="R526" s="98"/>
      <c r="S526" s="146"/>
      <c r="T526" s="279" t="s">
        <v>6011</v>
      </c>
      <c r="U526" s="279" t="s">
        <v>4893</v>
      </c>
      <c r="AA526"/>
      <c r="AB526"/>
      <c r="AC526" s="272"/>
      <c r="AD526" s="40"/>
    </row>
    <row r="527" spans="16:30" ht="10.5" customHeight="1">
      <c r="P527" s="150" t="s">
        <v>6012</v>
      </c>
      <c r="Q527" s="150"/>
      <c r="R527" s="98"/>
      <c r="S527" s="146"/>
      <c r="T527" s="146" t="s">
        <v>6013</v>
      </c>
      <c r="U527" s="146" t="s">
        <v>5172</v>
      </c>
      <c r="AA527"/>
      <c r="AB527"/>
      <c r="AC527" s="40"/>
      <c r="AD527" s="40"/>
    </row>
    <row r="528" spans="16:30" ht="10.5" customHeight="1">
      <c r="P528" s="150" t="s">
        <v>6014</v>
      </c>
      <c r="Q528" s="150"/>
      <c r="R528" s="98"/>
      <c r="S528" s="146"/>
      <c r="T528" s="279" t="s">
        <v>6015</v>
      </c>
      <c r="U528" s="279" t="s">
        <v>87</v>
      </c>
      <c r="AA528"/>
      <c r="AB528"/>
      <c r="AC528" s="272"/>
      <c r="AD528" s="40"/>
    </row>
    <row r="529" spans="16:30" ht="10.5" customHeight="1">
      <c r="P529" s="150" t="s">
        <v>6016</v>
      </c>
      <c r="Q529" s="150"/>
      <c r="R529" s="98"/>
      <c r="S529" s="146"/>
      <c r="T529" s="279" t="s">
        <v>6017</v>
      </c>
      <c r="U529" s="279" t="s">
        <v>4942</v>
      </c>
      <c r="AA529"/>
      <c r="AB529"/>
      <c r="AC529" s="272"/>
      <c r="AD529" s="40"/>
    </row>
    <row r="530" spans="16:30" ht="10.5" customHeight="1">
      <c r="P530" s="150" t="s">
        <v>6018</v>
      </c>
      <c r="Q530" s="150"/>
      <c r="R530" s="98"/>
      <c r="S530" s="146"/>
      <c r="T530" s="146" t="s">
        <v>2115</v>
      </c>
      <c r="U530" s="146" t="s">
        <v>5554</v>
      </c>
      <c r="AA530"/>
      <c r="AB530"/>
      <c r="AC530" s="40"/>
      <c r="AD530" s="40"/>
    </row>
    <row r="531" spans="16:30" ht="10.5" customHeight="1">
      <c r="P531" s="150" t="s">
        <v>6019</v>
      </c>
      <c r="Q531" s="150"/>
      <c r="R531" s="98"/>
      <c r="S531" s="146"/>
      <c r="T531" s="279" t="s">
        <v>6020</v>
      </c>
      <c r="U531" s="279" t="s">
        <v>121</v>
      </c>
      <c r="AA531"/>
      <c r="AB531"/>
      <c r="AC531" s="272"/>
      <c r="AD531" s="40"/>
    </row>
    <row r="532" spans="16:30" ht="10.5" customHeight="1">
      <c r="P532" s="150" t="s">
        <v>6021</v>
      </c>
      <c r="Q532" s="150"/>
      <c r="R532" s="98"/>
      <c r="S532" s="146"/>
      <c r="T532" s="279" t="s">
        <v>6022</v>
      </c>
      <c r="U532" s="279" t="s">
        <v>5112</v>
      </c>
      <c r="AA532"/>
      <c r="AB532"/>
      <c r="AC532" s="272"/>
      <c r="AD532" s="40"/>
    </row>
    <row r="533" spans="16:30" ht="10.5" customHeight="1">
      <c r="P533" s="150" t="s">
        <v>6023</v>
      </c>
      <c r="Q533" s="150"/>
      <c r="R533" s="98"/>
      <c r="S533" s="146"/>
      <c r="T533" s="279" t="s">
        <v>6024</v>
      </c>
      <c r="U533" s="279" t="s">
        <v>5505</v>
      </c>
      <c r="AA533"/>
      <c r="AB533"/>
      <c r="AC533" s="272"/>
      <c r="AD533" s="40"/>
    </row>
    <row r="534" spans="16:30" ht="10.5" customHeight="1">
      <c r="P534" s="150" t="s">
        <v>6025</v>
      </c>
      <c r="Q534" s="150"/>
      <c r="R534" s="98"/>
      <c r="S534" s="146"/>
      <c r="T534" s="279" t="s">
        <v>6026</v>
      </c>
      <c r="U534" s="279" t="s">
        <v>5021</v>
      </c>
      <c r="AA534"/>
      <c r="AB534"/>
      <c r="AC534" s="272"/>
      <c r="AD534" s="40"/>
    </row>
    <row r="535" spans="16:30" ht="10.5" customHeight="1">
      <c r="P535" s="150" t="s">
        <v>6027</v>
      </c>
      <c r="Q535" s="150"/>
      <c r="R535" s="98"/>
      <c r="S535" s="146"/>
      <c r="T535" s="279" t="s">
        <v>6028</v>
      </c>
      <c r="U535" s="279" t="s">
        <v>4987</v>
      </c>
      <c r="AA535"/>
      <c r="AB535"/>
      <c r="AC535" s="272"/>
      <c r="AD535" s="40"/>
    </row>
    <row r="536" spans="16:30" ht="10.5" customHeight="1">
      <c r="P536" s="150" t="s">
        <v>6029</v>
      </c>
      <c r="Q536" s="150"/>
      <c r="R536" s="98"/>
      <c r="S536" s="146"/>
      <c r="T536" s="279" t="s">
        <v>6030</v>
      </c>
      <c r="U536" s="279" t="s">
        <v>4961</v>
      </c>
      <c r="AA536"/>
      <c r="AB536"/>
      <c r="AC536" s="272"/>
      <c r="AD536" s="40"/>
    </row>
    <row r="537" spans="16:30" ht="10.5" customHeight="1">
      <c r="P537" s="150" t="s">
        <v>6031</v>
      </c>
      <c r="Q537" s="150"/>
      <c r="R537" s="98"/>
      <c r="S537" s="146"/>
      <c r="T537" s="279" t="s">
        <v>6032</v>
      </c>
      <c r="U537" s="279" t="s">
        <v>112</v>
      </c>
      <c r="AA537"/>
      <c r="AB537"/>
      <c r="AC537" s="272"/>
      <c r="AD537" s="40"/>
    </row>
    <row r="538" spans="16:30" ht="10.5" customHeight="1">
      <c r="P538" s="150" t="s">
        <v>6033</v>
      </c>
      <c r="Q538" s="150"/>
      <c r="R538" s="98"/>
      <c r="S538" s="146"/>
      <c r="T538" s="279" t="s">
        <v>6034</v>
      </c>
      <c r="U538" s="279" t="s">
        <v>5554</v>
      </c>
      <c r="AA538"/>
      <c r="AB538"/>
      <c r="AC538" s="272"/>
      <c r="AD538" s="40"/>
    </row>
    <row r="539" spans="16:30" ht="10.5" customHeight="1">
      <c r="P539" s="150" t="s">
        <v>6035</v>
      </c>
      <c r="Q539" s="150"/>
      <c r="R539" s="98"/>
      <c r="S539" s="146"/>
      <c r="T539" s="279" t="s">
        <v>6036</v>
      </c>
      <c r="U539" s="279" t="s">
        <v>4885</v>
      </c>
      <c r="AA539"/>
      <c r="AB539"/>
      <c r="AC539" s="272"/>
      <c r="AD539" s="40"/>
    </row>
    <row r="540" spans="16:30" ht="10.5" customHeight="1">
      <c r="P540" s="150" t="s">
        <v>6037</v>
      </c>
      <c r="Q540" s="150"/>
      <c r="R540" s="98"/>
      <c r="S540" s="146"/>
      <c r="T540" s="279" t="s">
        <v>2117</v>
      </c>
      <c r="U540" s="279" t="s">
        <v>5313</v>
      </c>
      <c r="AA540"/>
      <c r="AB540"/>
      <c r="AC540" s="272"/>
      <c r="AD540" s="40"/>
    </row>
    <row r="541" spans="16:30" ht="10.5" customHeight="1">
      <c r="P541" s="150" t="s">
        <v>6038</v>
      </c>
      <c r="Q541" s="150"/>
      <c r="R541" s="98"/>
      <c r="S541" s="146"/>
      <c r="T541" s="279" t="s">
        <v>6039</v>
      </c>
      <c r="U541" s="279" t="s">
        <v>4929</v>
      </c>
      <c r="AA541"/>
      <c r="AB541"/>
      <c r="AC541" s="272"/>
      <c r="AD541" s="40"/>
    </row>
    <row r="542" spans="16:30" ht="10.5" customHeight="1">
      <c r="P542" s="150" t="s">
        <v>6040</v>
      </c>
      <c r="Q542" s="150"/>
      <c r="R542" s="98"/>
      <c r="S542" s="146"/>
      <c r="T542" s="146" t="s">
        <v>6041</v>
      </c>
      <c r="U542" s="146" t="s">
        <v>142</v>
      </c>
      <c r="AA542"/>
      <c r="AB542"/>
      <c r="AC542" s="40"/>
      <c r="AD542" s="40"/>
    </row>
    <row r="543" spans="16:30" ht="10.5" customHeight="1">
      <c r="P543" s="150" t="s">
        <v>6042</v>
      </c>
      <c r="Q543" s="150"/>
      <c r="R543" s="98"/>
      <c r="S543" s="146"/>
      <c r="T543" s="279" t="s">
        <v>6043</v>
      </c>
      <c r="U543" s="279" t="s">
        <v>5172</v>
      </c>
      <c r="AA543"/>
      <c r="AB543"/>
      <c r="AC543" s="272"/>
      <c r="AD543" s="40"/>
    </row>
    <row r="544" spans="16:30" ht="10.5" customHeight="1">
      <c r="P544" s="150" t="s">
        <v>6044</v>
      </c>
      <c r="Q544" s="150"/>
      <c r="R544" s="98"/>
      <c r="S544" s="146"/>
      <c r="T544" s="279" t="s">
        <v>5083</v>
      </c>
      <c r="U544" s="279" t="s">
        <v>5208</v>
      </c>
      <c r="AA544"/>
      <c r="AB544"/>
      <c r="AC544" s="272"/>
      <c r="AD544" s="40"/>
    </row>
    <row r="545" spans="16:30" ht="10.5" customHeight="1">
      <c r="P545" s="150" t="s">
        <v>6045</v>
      </c>
      <c r="Q545" s="150"/>
      <c r="R545" s="98"/>
      <c r="S545" s="146"/>
      <c r="T545" s="279" t="s">
        <v>6046</v>
      </c>
      <c r="U545" s="279" t="s">
        <v>121</v>
      </c>
      <c r="AA545"/>
      <c r="AB545"/>
      <c r="AC545" s="272"/>
      <c r="AD545" s="40"/>
    </row>
    <row r="546" spans="16:30" ht="10.5" customHeight="1">
      <c r="P546" s="150" t="s">
        <v>6047</v>
      </c>
      <c r="Q546" s="150"/>
      <c r="R546" s="98"/>
      <c r="S546" s="146"/>
      <c r="T546" s="279" t="s">
        <v>5416</v>
      </c>
      <c r="U546" s="279" t="s">
        <v>5150</v>
      </c>
      <c r="AA546"/>
      <c r="AB546"/>
      <c r="AC546" s="272"/>
      <c r="AD546" s="40"/>
    </row>
    <row r="547" spans="16:30" ht="10.5" customHeight="1">
      <c r="P547" s="150" t="s">
        <v>6048</v>
      </c>
      <c r="Q547" s="150"/>
      <c r="R547" s="98"/>
      <c r="S547" s="146"/>
      <c r="T547" s="279" t="s">
        <v>6049</v>
      </c>
      <c r="U547" s="279" t="s">
        <v>4888</v>
      </c>
      <c r="AA547"/>
      <c r="AB547"/>
      <c r="AC547" s="272"/>
      <c r="AD547" s="40"/>
    </row>
    <row r="548" spans="16:30" ht="10.5" customHeight="1">
      <c r="P548" s="150" t="s">
        <v>6050</v>
      </c>
      <c r="Q548" s="150"/>
      <c r="R548" s="98"/>
      <c r="S548" s="146"/>
      <c r="T548" s="279" t="s">
        <v>138</v>
      </c>
      <c r="U548" s="279" t="s">
        <v>126</v>
      </c>
      <c r="AA548"/>
      <c r="AB548"/>
      <c r="AC548" s="272"/>
      <c r="AD548" s="40"/>
    </row>
    <row r="549" spans="16:30" ht="10.5" customHeight="1">
      <c r="P549" s="150" t="s">
        <v>6051</v>
      </c>
      <c r="Q549" s="150"/>
      <c r="R549" s="98"/>
      <c r="S549" s="146"/>
      <c r="T549" s="279" t="s">
        <v>6052</v>
      </c>
      <c r="U549" s="279" t="s">
        <v>5296</v>
      </c>
      <c r="AA549"/>
      <c r="AB549"/>
      <c r="AC549" s="272"/>
      <c r="AD549" s="40"/>
    </row>
    <row r="550" spans="16:30" ht="10.5" customHeight="1">
      <c r="P550" s="150" t="s">
        <v>6053</v>
      </c>
      <c r="Q550" s="150"/>
      <c r="R550" s="98"/>
      <c r="S550" s="146"/>
      <c r="T550" s="279" t="s">
        <v>6054</v>
      </c>
      <c r="U550" s="279" t="s">
        <v>5339</v>
      </c>
      <c r="AA550"/>
      <c r="AB550"/>
      <c r="AC550" s="272"/>
      <c r="AD550" s="40"/>
    </row>
    <row r="551" spans="16:30" ht="10.5" customHeight="1">
      <c r="P551" s="150" t="s">
        <v>6055</v>
      </c>
      <c r="Q551" s="150"/>
      <c r="R551" s="98"/>
      <c r="S551" s="146"/>
      <c r="T551" s="279" t="s">
        <v>139</v>
      </c>
      <c r="U551" s="279" t="s">
        <v>140</v>
      </c>
      <c r="AA551"/>
      <c r="AB551"/>
      <c r="AC551" s="272"/>
      <c r="AD551" s="40"/>
    </row>
    <row r="552" spans="16:30" ht="10.5" customHeight="1">
      <c r="P552" s="150" t="s">
        <v>6056</v>
      </c>
      <c r="Q552" s="150"/>
      <c r="R552" s="98"/>
      <c r="S552" s="146"/>
      <c r="T552" s="279" t="s">
        <v>6057</v>
      </c>
      <c r="U552" s="279" t="s">
        <v>104</v>
      </c>
      <c r="AA552"/>
      <c r="AB552"/>
      <c r="AC552" s="272"/>
      <c r="AD552" s="40"/>
    </row>
    <row r="553" spans="16:30" ht="10.5" customHeight="1">
      <c r="P553" s="150" t="s">
        <v>6058</v>
      </c>
      <c r="Q553" s="150"/>
      <c r="R553" s="98"/>
      <c r="S553" s="146"/>
      <c r="T553" s="279" t="s">
        <v>5228</v>
      </c>
      <c r="U553" s="279" t="s">
        <v>4975</v>
      </c>
      <c r="AA553"/>
      <c r="AB553"/>
      <c r="AC553" s="272"/>
      <c r="AD553" s="40"/>
    </row>
    <row r="554" spans="16:30" ht="10.5" customHeight="1">
      <c r="P554" s="150" t="s">
        <v>6059</v>
      </c>
      <c r="Q554" s="150"/>
      <c r="R554" s="98"/>
      <c r="S554" s="146"/>
      <c r="T554" s="279" t="s">
        <v>6060</v>
      </c>
      <c r="U554" s="279" t="s">
        <v>5172</v>
      </c>
      <c r="AA554"/>
      <c r="AB554"/>
      <c r="AC554" s="272"/>
      <c r="AD554" s="40"/>
    </row>
    <row r="555" spans="16:30" ht="10.5" customHeight="1">
      <c r="P555" s="150" t="s">
        <v>6061</v>
      </c>
      <c r="Q555" s="150"/>
      <c r="R555" s="98"/>
      <c r="S555" s="146"/>
      <c r="T555" s="146" t="s">
        <v>6062</v>
      </c>
      <c r="U555" s="146" t="s">
        <v>89</v>
      </c>
      <c r="AA555"/>
      <c r="AB555"/>
      <c r="AC555" s="40"/>
      <c r="AD555" s="40"/>
    </row>
    <row r="556" spans="16:30" ht="10.5" customHeight="1">
      <c r="P556" s="150" t="s">
        <v>6063</v>
      </c>
      <c r="Q556" s="150"/>
      <c r="R556" s="98"/>
      <c r="S556" s="146"/>
      <c r="T556" s="146" t="s">
        <v>6064</v>
      </c>
      <c r="U556" s="146" t="s">
        <v>4944</v>
      </c>
      <c r="AA556"/>
      <c r="AB556"/>
      <c r="AC556" s="40"/>
      <c r="AD556" s="40"/>
    </row>
    <row r="557" spans="16:30" ht="10.5" customHeight="1">
      <c r="P557" s="150" t="s">
        <v>6065</v>
      </c>
      <c r="Q557" s="150"/>
      <c r="R557" s="98"/>
      <c r="S557" s="146"/>
      <c r="T557" s="146" t="s">
        <v>6066</v>
      </c>
      <c r="U557" s="146" t="s">
        <v>5063</v>
      </c>
      <c r="AA557"/>
      <c r="AB557"/>
      <c r="AC557" s="40"/>
      <c r="AD557" s="40"/>
    </row>
    <row r="558" spans="16:30" ht="10.5" customHeight="1">
      <c r="P558" s="150" t="s">
        <v>6067</v>
      </c>
      <c r="Q558" s="150"/>
      <c r="R558" s="98"/>
      <c r="S558" s="146"/>
      <c r="T558" s="279" t="s">
        <v>6068</v>
      </c>
      <c r="U558" s="279" t="s">
        <v>152</v>
      </c>
      <c r="AA558"/>
      <c r="AB558"/>
      <c r="AC558" s="272"/>
      <c r="AD558" s="40"/>
    </row>
    <row r="559" spans="16:30" ht="10.5" customHeight="1">
      <c r="P559" s="150" t="s">
        <v>6069</v>
      </c>
      <c r="Q559" s="150"/>
      <c r="R559" s="98"/>
      <c r="S559" s="146"/>
      <c r="T559" s="279" t="s">
        <v>6070</v>
      </c>
      <c r="U559" s="279" t="s">
        <v>138</v>
      </c>
      <c r="AA559"/>
      <c r="AB559"/>
      <c r="AC559" s="272"/>
      <c r="AD559" s="40"/>
    </row>
    <row r="560" spans="16:30" ht="10.5" customHeight="1">
      <c r="P560" s="150" t="s">
        <v>6071</v>
      </c>
      <c r="Q560" s="150"/>
      <c r="R560" s="98"/>
      <c r="S560" s="146"/>
      <c r="T560" s="279" t="s">
        <v>6072</v>
      </c>
      <c r="U560" s="279" t="s">
        <v>4992</v>
      </c>
      <c r="AA560"/>
      <c r="AB560"/>
      <c r="AC560" s="272"/>
      <c r="AD560" s="40"/>
    </row>
    <row r="561" spans="16:30" ht="10.5" customHeight="1">
      <c r="P561" s="150" t="s">
        <v>6073</v>
      </c>
      <c r="Q561" s="150"/>
      <c r="R561" s="98"/>
      <c r="S561" s="146"/>
      <c r="T561" s="279" t="s">
        <v>6074</v>
      </c>
      <c r="U561" s="279" t="s">
        <v>5488</v>
      </c>
      <c r="AA561"/>
      <c r="AB561"/>
      <c r="AC561" s="272"/>
      <c r="AD561" s="40"/>
    </row>
    <row r="562" spans="16:30" ht="10.5" customHeight="1">
      <c r="P562" s="150" t="s">
        <v>6075</v>
      </c>
      <c r="Q562" s="150"/>
      <c r="R562" s="98"/>
      <c r="S562" s="146"/>
      <c r="T562" s="279" t="s">
        <v>141</v>
      </c>
      <c r="U562" s="279" t="s">
        <v>142</v>
      </c>
      <c r="AA562"/>
      <c r="AB562"/>
      <c r="AC562" s="272"/>
      <c r="AD562" s="40"/>
    </row>
    <row r="563" spans="16:30" ht="10.5" customHeight="1">
      <c r="P563" s="150" t="s">
        <v>6076</v>
      </c>
      <c r="Q563" s="150"/>
      <c r="R563" s="98"/>
      <c r="S563" s="146"/>
      <c r="T563" s="279" t="s">
        <v>6077</v>
      </c>
      <c r="U563" s="279" t="s">
        <v>4937</v>
      </c>
      <c r="AA563"/>
      <c r="AB563"/>
      <c r="AC563" s="272"/>
      <c r="AD563" s="40"/>
    </row>
    <row r="564" spans="16:30" ht="10.5" customHeight="1">
      <c r="P564" s="150" t="s">
        <v>6078</v>
      </c>
      <c r="Q564" s="150"/>
      <c r="R564" s="98"/>
      <c r="S564" s="146"/>
      <c r="T564" s="279" t="s">
        <v>6079</v>
      </c>
      <c r="U564" s="279" t="s">
        <v>4917</v>
      </c>
      <c r="AA564"/>
      <c r="AB564"/>
      <c r="AC564" s="272"/>
      <c r="AD564" s="40"/>
    </row>
    <row r="565" spans="16:30" ht="10.5" customHeight="1">
      <c r="P565" s="150" t="s">
        <v>6080</v>
      </c>
      <c r="Q565" s="150"/>
      <c r="R565" s="98"/>
      <c r="S565" s="146"/>
      <c r="T565" s="279" t="s">
        <v>6081</v>
      </c>
      <c r="U565" s="279" t="s">
        <v>140</v>
      </c>
      <c r="AA565"/>
      <c r="AB565"/>
      <c r="AC565" s="272"/>
      <c r="AD565" s="40"/>
    </row>
    <row r="566" spans="16:30" ht="10.5" customHeight="1">
      <c r="P566" s="150" t="s">
        <v>6082</v>
      </c>
      <c r="Q566" s="150"/>
      <c r="R566" s="98"/>
      <c r="S566" s="146"/>
      <c r="T566" s="279" t="s">
        <v>6083</v>
      </c>
      <c r="U566" s="279" t="s">
        <v>5460</v>
      </c>
      <c r="AA566"/>
      <c r="AB566"/>
      <c r="AC566" s="272"/>
      <c r="AD566" s="40"/>
    </row>
    <row r="567" spans="16:30" ht="10.5" customHeight="1">
      <c r="P567" s="150" t="s">
        <v>6084</v>
      </c>
      <c r="Q567" s="150"/>
      <c r="R567" s="98"/>
      <c r="S567" s="146"/>
      <c r="T567" s="279" t="s">
        <v>6085</v>
      </c>
      <c r="U567" s="279" t="s">
        <v>5440</v>
      </c>
      <c r="AA567"/>
      <c r="AB567"/>
      <c r="AC567" s="272"/>
      <c r="AD567" s="40"/>
    </row>
    <row r="568" spans="16:30" ht="10.5" customHeight="1">
      <c r="P568" s="150" t="s">
        <v>6086</v>
      </c>
      <c r="Q568" s="150"/>
      <c r="R568" s="98"/>
      <c r="S568" s="146"/>
      <c r="T568" s="279" t="s">
        <v>6087</v>
      </c>
      <c r="U568" s="279" t="s">
        <v>5510</v>
      </c>
      <c r="AA568"/>
      <c r="AB568"/>
      <c r="AC568" s="272"/>
      <c r="AD568" s="40"/>
    </row>
    <row r="569" spans="16:30" ht="10.5" customHeight="1">
      <c r="P569" s="150" t="s">
        <v>6088</v>
      </c>
      <c r="Q569" s="150"/>
      <c r="R569" s="98"/>
      <c r="S569" s="146"/>
      <c r="T569" s="279" t="s">
        <v>2118</v>
      </c>
      <c r="U569" s="279" t="s">
        <v>104</v>
      </c>
      <c r="AA569"/>
      <c r="AB569"/>
      <c r="AC569" s="272"/>
      <c r="AD569" s="40"/>
    </row>
    <row r="570" spans="16:30" ht="10.5" customHeight="1">
      <c r="P570" s="150" t="s">
        <v>6089</v>
      </c>
      <c r="Q570" s="150"/>
      <c r="R570" s="98"/>
      <c r="S570" s="146"/>
      <c r="T570" s="279" t="s">
        <v>5440</v>
      </c>
      <c r="U570" s="279" t="s">
        <v>4876</v>
      </c>
      <c r="AA570"/>
      <c r="AB570"/>
      <c r="AC570" s="272"/>
      <c r="AD570" s="40"/>
    </row>
    <row r="571" spans="16:30" ht="10.5" customHeight="1">
      <c r="P571" s="150" t="s">
        <v>6090</v>
      </c>
      <c r="Q571" s="150"/>
      <c r="R571" s="98"/>
      <c r="S571" s="146"/>
      <c r="T571" s="279" t="s">
        <v>6091</v>
      </c>
      <c r="U571" s="279" t="s">
        <v>4973</v>
      </c>
      <c r="AA571"/>
      <c r="AB571"/>
      <c r="AC571" s="272"/>
      <c r="AD571" s="40"/>
    </row>
    <row r="572" spans="16:30" ht="10.5" customHeight="1">
      <c r="P572" s="150" t="s">
        <v>6092</v>
      </c>
      <c r="Q572" s="150"/>
      <c r="R572" s="98"/>
      <c r="S572" s="146"/>
      <c r="T572" s="279" t="s">
        <v>6093</v>
      </c>
      <c r="U572" s="279" t="s">
        <v>5009</v>
      </c>
      <c r="AA572"/>
      <c r="AB572"/>
      <c r="AC572" s="272"/>
      <c r="AD572" s="40"/>
    </row>
    <row r="573" spans="16:30" ht="10.5" customHeight="1">
      <c r="P573" s="150" t="s">
        <v>6094</v>
      </c>
      <c r="Q573" s="150"/>
      <c r="R573" s="98"/>
      <c r="S573" s="146"/>
      <c r="T573" s="279" t="s">
        <v>2120</v>
      </c>
      <c r="U573" s="279" t="s">
        <v>5133</v>
      </c>
      <c r="AA573"/>
      <c r="AB573"/>
      <c r="AC573" s="272"/>
      <c r="AD573" s="40"/>
    </row>
    <row r="574" spans="16:30" ht="10.5" customHeight="1">
      <c r="P574" s="150" t="s">
        <v>6095</v>
      </c>
      <c r="Q574" s="150"/>
      <c r="R574" s="98"/>
      <c r="S574" s="146"/>
      <c r="T574" s="279" t="s">
        <v>6096</v>
      </c>
      <c r="U574" s="279" t="s">
        <v>5063</v>
      </c>
      <c r="AA574"/>
      <c r="AB574"/>
      <c r="AC574" s="272"/>
      <c r="AD574" s="40"/>
    </row>
    <row r="575" spans="16:30" ht="10.5" customHeight="1">
      <c r="P575" s="150" t="s">
        <v>6097</v>
      </c>
      <c r="Q575" s="150"/>
      <c r="R575" s="98"/>
      <c r="S575" s="146"/>
      <c r="T575" s="146" t="s">
        <v>6098</v>
      </c>
      <c r="U575" s="146" t="s">
        <v>5164</v>
      </c>
      <c r="AA575"/>
      <c r="AB575"/>
      <c r="AC575" s="40"/>
      <c r="AD575" s="40"/>
    </row>
    <row r="576" spans="16:30" ht="10.5" customHeight="1">
      <c r="P576" s="150" t="s">
        <v>6099</v>
      </c>
      <c r="Q576" s="150"/>
      <c r="R576" s="98"/>
      <c r="S576" s="146"/>
      <c r="T576" s="279" t="s">
        <v>6100</v>
      </c>
      <c r="U576" s="279" t="s">
        <v>5361</v>
      </c>
      <c r="AA576"/>
      <c r="AB576"/>
      <c r="AC576" s="272"/>
      <c r="AD576" s="40"/>
    </row>
    <row r="577" spans="16:30" ht="10.5" customHeight="1">
      <c r="P577" s="150" t="s">
        <v>6101</v>
      </c>
      <c r="Q577" s="150"/>
      <c r="R577" s="98"/>
      <c r="S577" s="146"/>
      <c r="T577" s="279" t="s">
        <v>6102</v>
      </c>
      <c r="U577" s="279" t="s">
        <v>5159</v>
      </c>
      <c r="AA577"/>
      <c r="AB577"/>
      <c r="AC577" s="272"/>
      <c r="AD577" s="40"/>
    </row>
    <row r="578" spans="16:30" ht="10.5" customHeight="1">
      <c r="P578" s="150" t="s">
        <v>6103</v>
      </c>
      <c r="Q578" s="150"/>
      <c r="R578" s="98"/>
      <c r="S578" s="146"/>
      <c r="T578" s="279" t="s">
        <v>6104</v>
      </c>
      <c r="U578" s="279" t="s">
        <v>5159</v>
      </c>
      <c r="AA578"/>
      <c r="AB578"/>
      <c r="AC578" s="272"/>
      <c r="AD578" s="40"/>
    </row>
    <row r="579" spans="16:30" ht="10.5" customHeight="1">
      <c r="P579" s="150" t="s">
        <v>6105</v>
      </c>
      <c r="Q579" s="150"/>
      <c r="R579" s="98"/>
      <c r="S579" s="146"/>
      <c r="T579" s="279" t="s">
        <v>6106</v>
      </c>
      <c r="U579" s="279" t="s">
        <v>5245</v>
      </c>
      <c r="AA579"/>
      <c r="AB579"/>
      <c r="AC579" s="272"/>
      <c r="AD579" s="40"/>
    </row>
    <row r="580" spans="16:30" ht="10.5" customHeight="1">
      <c r="P580" s="150" t="s">
        <v>6107</v>
      </c>
      <c r="Q580" s="150"/>
      <c r="R580" s="98"/>
      <c r="S580" s="146"/>
      <c r="T580" s="279" t="s">
        <v>6108</v>
      </c>
      <c r="U580" s="279" t="s">
        <v>5112</v>
      </c>
      <c r="AA580"/>
      <c r="AB580"/>
      <c r="AC580" s="272"/>
      <c r="AD580" s="40"/>
    </row>
    <row r="581" spans="16:30" ht="10.5" customHeight="1">
      <c r="P581" s="150" t="s">
        <v>6109</v>
      </c>
      <c r="Q581" s="150"/>
      <c r="R581" s="98"/>
      <c r="S581" s="146"/>
      <c r="T581" s="279" t="s">
        <v>2122</v>
      </c>
      <c r="U581" s="279" t="s">
        <v>5288</v>
      </c>
      <c r="AA581"/>
      <c r="AB581"/>
      <c r="AC581" s="272"/>
      <c r="AD581" s="40"/>
    </row>
    <row r="582" spans="16:30" ht="10.5" customHeight="1">
      <c r="P582" s="150" t="s">
        <v>6110</v>
      </c>
      <c r="Q582" s="150"/>
      <c r="R582" s="98"/>
      <c r="S582" s="146"/>
      <c r="T582" s="279" t="s">
        <v>5164</v>
      </c>
      <c r="U582" s="279" t="s">
        <v>2147</v>
      </c>
      <c r="AA582"/>
      <c r="AB582"/>
      <c r="AC582" s="272"/>
      <c r="AD582" s="40"/>
    </row>
    <row r="583" spans="16:30" ht="10.5" customHeight="1">
      <c r="P583" s="150" t="s">
        <v>6111</v>
      </c>
      <c r="Q583" s="150"/>
      <c r="R583" s="98"/>
      <c r="S583" s="146"/>
      <c r="T583" s="279" t="s">
        <v>6112</v>
      </c>
      <c r="U583" s="279" t="s">
        <v>5619</v>
      </c>
      <c r="AA583"/>
      <c r="AB583"/>
      <c r="AC583" s="272"/>
      <c r="AD583" s="40"/>
    </row>
    <row r="584" spans="16:30" ht="10.5" customHeight="1">
      <c r="P584" s="150" t="s">
        <v>6113</v>
      </c>
      <c r="Q584" s="150"/>
      <c r="R584" s="98"/>
      <c r="S584" s="146"/>
      <c r="T584" s="279" t="s">
        <v>6114</v>
      </c>
      <c r="U584" s="279" t="s">
        <v>5170</v>
      </c>
      <c r="AA584"/>
      <c r="AB584"/>
      <c r="AC584" s="272"/>
      <c r="AD584" s="40"/>
    </row>
    <row r="585" spans="16:30" ht="10.5" customHeight="1">
      <c r="P585" s="150" t="s">
        <v>6115</v>
      </c>
      <c r="Q585" s="150"/>
      <c r="R585" s="98"/>
      <c r="S585" s="146"/>
      <c r="T585" s="279" t="s">
        <v>5026</v>
      </c>
      <c r="U585" s="279" t="s">
        <v>4888</v>
      </c>
      <c r="AA585"/>
      <c r="AB585"/>
      <c r="AC585" s="272"/>
      <c r="AD585" s="40"/>
    </row>
    <row r="586" spans="16:30" ht="10.5" customHeight="1">
      <c r="P586" s="150" t="s">
        <v>6116</v>
      </c>
      <c r="Q586" s="150"/>
      <c r="R586" s="98"/>
      <c r="S586" s="146"/>
      <c r="T586" s="146" t="s">
        <v>6117</v>
      </c>
      <c r="U586" s="146" t="s">
        <v>5510</v>
      </c>
      <c r="AA586"/>
      <c r="AB586"/>
      <c r="AC586" s="40"/>
      <c r="AD586" s="40"/>
    </row>
    <row r="587" spans="16:30" ht="10.5" customHeight="1">
      <c r="P587" s="150" t="s">
        <v>6118</v>
      </c>
      <c r="Q587" s="150"/>
      <c r="R587" s="98"/>
      <c r="S587" s="146"/>
      <c r="T587" s="279" t="s">
        <v>6119</v>
      </c>
      <c r="U587" s="279" t="s">
        <v>5531</v>
      </c>
      <c r="AA587"/>
      <c r="AB587"/>
      <c r="AC587" s="272"/>
      <c r="AD587" s="40"/>
    </row>
    <row r="588" spans="16:30" ht="10.5" customHeight="1">
      <c r="P588" s="150" t="s">
        <v>6120</v>
      </c>
      <c r="Q588" s="150"/>
      <c r="R588" s="98"/>
      <c r="S588" s="146"/>
      <c r="T588" s="279" t="s">
        <v>6121</v>
      </c>
      <c r="U588" s="279" t="s">
        <v>148</v>
      </c>
      <c r="AA588"/>
      <c r="AB588"/>
      <c r="AC588" s="272"/>
      <c r="AD588" s="40"/>
    </row>
    <row r="589" spans="16:30" ht="10.5" customHeight="1">
      <c r="P589" s="150" t="s">
        <v>6122</v>
      </c>
      <c r="Q589" s="150"/>
      <c r="R589" s="98"/>
      <c r="S589" s="146"/>
      <c r="T589" s="279" t="s">
        <v>6123</v>
      </c>
      <c r="U589" s="279" t="s">
        <v>102</v>
      </c>
      <c r="AA589"/>
      <c r="AB589"/>
      <c r="AC589" s="272"/>
      <c r="AD589" s="40"/>
    </row>
    <row r="590" spans="16:30" ht="10.5" customHeight="1">
      <c r="P590" s="150" t="s">
        <v>6124</v>
      </c>
      <c r="Q590" s="150"/>
      <c r="R590" s="98"/>
      <c r="S590" s="146"/>
      <c r="T590" s="279" t="s">
        <v>6125</v>
      </c>
      <c r="U590" s="279" t="s">
        <v>5440</v>
      </c>
      <c r="AA590"/>
      <c r="AB590"/>
      <c r="AC590" s="272"/>
      <c r="AD590" s="40"/>
    </row>
    <row r="591" spans="16:30" ht="10.5" customHeight="1">
      <c r="P591" s="150" t="s">
        <v>6126</v>
      </c>
      <c r="Q591" s="150"/>
      <c r="R591" s="98"/>
      <c r="S591" s="146"/>
      <c r="T591" s="279" t="s">
        <v>6127</v>
      </c>
      <c r="U591" s="279" t="s">
        <v>142</v>
      </c>
      <c r="AA591"/>
      <c r="AB591"/>
      <c r="AC591" s="272"/>
      <c r="AD591" s="40"/>
    </row>
    <row r="592" spans="16:30" ht="10.5" customHeight="1">
      <c r="P592" s="150" t="s">
        <v>6128</v>
      </c>
      <c r="Q592" s="150"/>
      <c r="R592" s="98"/>
      <c r="S592" s="146"/>
      <c r="T592" s="279" t="s">
        <v>146</v>
      </c>
      <c r="U592" s="279" t="s">
        <v>84</v>
      </c>
      <c r="AA592"/>
      <c r="AB592"/>
      <c r="AC592" s="272"/>
      <c r="AD592" s="40"/>
    </row>
    <row r="593" spans="16:30" ht="10.5" customHeight="1">
      <c r="P593" s="150" t="s">
        <v>6129</v>
      </c>
      <c r="Q593" s="150"/>
      <c r="R593" s="98"/>
      <c r="S593" s="146"/>
      <c r="T593" s="279" t="s">
        <v>6130</v>
      </c>
      <c r="U593" s="279" t="s">
        <v>5273</v>
      </c>
      <c r="AA593"/>
      <c r="AB593"/>
      <c r="AC593" s="272"/>
      <c r="AD593" s="40"/>
    </row>
    <row r="594" spans="16:30" ht="10.5" customHeight="1">
      <c r="P594" s="150" t="s">
        <v>6131</v>
      </c>
      <c r="Q594" s="150"/>
      <c r="R594" s="98"/>
      <c r="S594" s="146"/>
      <c r="T594" s="279" t="s">
        <v>6132</v>
      </c>
      <c r="U594" s="279" t="s">
        <v>5170</v>
      </c>
      <c r="AA594"/>
      <c r="AB594"/>
      <c r="AC594" s="272"/>
      <c r="AD594" s="40"/>
    </row>
    <row r="595" spans="16:30" ht="10.5" customHeight="1">
      <c r="P595" s="150" t="s">
        <v>6133</v>
      </c>
      <c r="Q595" s="150"/>
      <c r="R595" s="98"/>
      <c r="S595" s="146"/>
      <c r="T595" s="279" t="s">
        <v>6134</v>
      </c>
      <c r="U595" s="279" t="s">
        <v>5112</v>
      </c>
      <c r="AA595"/>
      <c r="AB595"/>
      <c r="AC595" s="272"/>
      <c r="AD595" s="40"/>
    </row>
    <row r="596" spans="16:30" ht="10.5" customHeight="1">
      <c r="P596" s="150" t="s">
        <v>6135</v>
      </c>
      <c r="Q596" s="150"/>
      <c r="R596" s="98"/>
      <c r="S596" s="146"/>
      <c r="T596" s="279" t="s">
        <v>6136</v>
      </c>
      <c r="U596" s="279" t="s">
        <v>4923</v>
      </c>
      <c r="AA596"/>
      <c r="AB596"/>
      <c r="AC596" s="272"/>
      <c r="AD596" s="40"/>
    </row>
    <row r="597" spans="16:30" ht="10.5" customHeight="1">
      <c r="P597" s="150" t="s">
        <v>6137</v>
      </c>
      <c r="Q597" s="150"/>
      <c r="R597" s="98"/>
      <c r="S597" s="146"/>
      <c r="T597" s="279" t="s">
        <v>6138</v>
      </c>
      <c r="U597" s="279" t="s">
        <v>5177</v>
      </c>
      <c r="AA597"/>
      <c r="AB597"/>
      <c r="AC597" s="272"/>
      <c r="AD597" s="40"/>
    </row>
    <row r="598" spans="16:30" ht="10.5" customHeight="1">
      <c r="P598" s="150" t="s">
        <v>6139</v>
      </c>
      <c r="Q598" s="150"/>
      <c r="R598" s="98"/>
      <c r="S598" s="146"/>
      <c r="T598" s="279" t="s">
        <v>6140</v>
      </c>
      <c r="U598" s="279" t="s">
        <v>5133</v>
      </c>
      <c r="AA598"/>
      <c r="AB598"/>
      <c r="AC598" s="272"/>
      <c r="AD598" s="40"/>
    </row>
    <row r="599" spans="16:30" ht="10.5" customHeight="1">
      <c r="P599" s="150" t="s">
        <v>6141</v>
      </c>
      <c r="Q599" s="150"/>
      <c r="R599" s="98"/>
      <c r="S599" s="146"/>
      <c r="T599" s="279" t="s">
        <v>6142</v>
      </c>
      <c r="U599" s="279" t="s">
        <v>4863</v>
      </c>
      <c r="AA599"/>
      <c r="AB599"/>
      <c r="AC599" s="272"/>
      <c r="AD599" s="40"/>
    </row>
    <row r="600" spans="16:30" ht="10.5" customHeight="1">
      <c r="P600" s="150" t="s">
        <v>6143</v>
      </c>
      <c r="Q600" s="150"/>
      <c r="R600" s="98"/>
      <c r="S600" s="146"/>
      <c r="T600" s="279" t="s">
        <v>6144</v>
      </c>
      <c r="U600" s="279" t="s">
        <v>5083</v>
      </c>
      <c r="AA600"/>
      <c r="AB600"/>
      <c r="AC600" s="272"/>
      <c r="AD600" s="40"/>
    </row>
    <row r="601" spans="16:30" ht="10.5" customHeight="1">
      <c r="P601" s="150" t="s">
        <v>6145</v>
      </c>
      <c r="Q601" s="150"/>
      <c r="R601" s="98"/>
      <c r="S601" s="146"/>
      <c r="T601" s="279" t="s">
        <v>2124</v>
      </c>
      <c r="U601" s="279" t="s">
        <v>4950</v>
      </c>
      <c r="AA601"/>
      <c r="AB601"/>
      <c r="AC601" s="272"/>
      <c r="AD601" s="40"/>
    </row>
    <row r="602" spans="16:30" ht="10.5" customHeight="1">
      <c r="P602" s="150" t="s">
        <v>6146</v>
      </c>
      <c r="Q602" s="150"/>
      <c r="R602" s="98"/>
      <c r="S602" s="146"/>
      <c r="T602" s="146" t="s">
        <v>6147</v>
      </c>
      <c r="U602" s="146" t="s">
        <v>5009</v>
      </c>
      <c r="AA602"/>
      <c r="AB602"/>
      <c r="AC602" s="40"/>
      <c r="AD602" s="40"/>
    </row>
    <row r="603" spans="16:30" ht="10.5" customHeight="1">
      <c r="P603" s="150" t="s">
        <v>6148</v>
      </c>
      <c r="Q603" s="150"/>
      <c r="R603" s="98"/>
      <c r="S603" s="146"/>
      <c r="T603" s="279" t="s">
        <v>6149</v>
      </c>
      <c r="U603" s="279" t="s">
        <v>5313</v>
      </c>
      <c r="AA603"/>
      <c r="AB603"/>
      <c r="AC603" s="272"/>
      <c r="AD603" s="40"/>
    </row>
    <row r="604" spans="16:30" ht="10.5" customHeight="1">
      <c r="P604" s="150" t="s">
        <v>6150</v>
      </c>
      <c r="Q604" s="150"/>
      <c r="R604" s="98"/>
      <c r="S604" s="146"/>
      <c r="T604" s="279" t="s">
        <v>2126</v>
      </c>
      <c r="U604" s="279" t="s">
        <v>157</v>
      </c>
      <c r="AA604"/>
      <c r="AB604"/>
      <c r="AC604" s="272"/>
      <c r="AD604" s="40"/>
    </row>
    <row r="605" spans="16:30" ht="10.5" customHeight="1">
      <c r="P605" s="150" t="s">
        <v>6151</v>
      </c>
      <c r="Q605" s="150"/>
      <c r="R605" s="98"/>
      <c r="S605" s="146"/>
      <c r="T605" s="146" t="s">
        <v>147</v>
      </c>
      <c r="U605" s="146" t="s">
        <v>148</v>
      </c>
      <c r="AA605"/>
      <c r="AB605"/>
      <c r="AC605" s="40"/>
      <c r="AD605" s="40"/>
    </row>
    <row r="606" spans="16:30" ht="10.5" customHeight="1">
      <c r="P606" s="150" t="s">
        <v>6152</v>
      </c>
      <c r="Q606" s="150"/>
      <c r="R606" s="98"/>
      <c r="S606" s="146"/>
      <c r="T606" s="279" t="s">
        <v>6153</v>
      </c>
      <c r="U606" s="279" t="s">
        <v>84</v>
      </c>
      <c r="AA606"/>
      <c r="AB606"/>
      <c r="AC606" s="272"/>
      <c r="AD606" s="40"/>
    </row>
    <row r="607" spans="16:30" ht="10.5" customHeight="1">
      <c r="P607" s="150" t="s">
        <v>6154</v>
      </c>
      <c r="Q607" s="150"/>
      <c r="R607" s="98"/>
      <c r="S607" s="146"/>
      <c r="T607" s="279" t="s">
        <v>6155</v>
      </c>
      <c r="U607" s="279" t="s">
        <v>5264</v>
      </c>
      <c r="AA607"/>
      <c r="AB607"/>
      <c r="AC607" s="272"/>
      <c r="AD607" s="40"/>
    </row>
    <row r="608" spans="16:30" ht="10.5" customHeight="1">
      <c r="P608" s="150" t="s">
        <v>6156</v>
      </c>
      <c r="Q608" s="150"/>
      <c r="R608" s="98"/>
      <c r="S608" s="146"/>
      <c r="T608" s="279" t="s">
        <v>6157</v>
      </c>
      <c r="U608" s="279" t="s">
        <v>5120</v>
      </c>
      <c r="AA608"/>
      <c r="AB608"/>
      <c r="AC608" s="272"/>
      <c r="AD608" s="40"/>
    </row>
    <row r="609" spans="16:30" ht="10.5" customHeight="1">
      <c r="P609" s="150" t="s">
        <v>6158</v>
      </c>
      <c r="Q609" s="150"/>
      <c r="R609" s="98"/>
      <c r="S609" s="146"/>
      <c r="T609" s="146" t="s">
        <v>6159</v>
      </c>
      <c r="U609" s="146" t="s">
        <v>4869</v>
      </c>
      <c r="AA609"/>
      <c r="AB609"/>
      <c r="AC609" s="40"/>
      <c r="AD609" s="40"/>
    </row>
    <row r="610" spans="16:30" ht="10.5" customHeight="1">
      <c r="P610" s="150" t="s">
        <v>6160</v>
      </c>
      <c r="Q610" s="150"/>
      <c r="R610" s="98"/>
      <c r="S610" s="146"/>
      <c r="T610" s="146" t="s">
        <v>6161</v>
      </c>
      <c r="U610" s="146" t="s">
        <v>4869</v>
      </c>
      <c r="AA610"/>
      <c r="AB610"/>
      <c r="AC610" s="40"/>
      <c r="AD610" s="40"/>
    </row>
    <row r="611" spans="16:30" ht="10.5" customHeight="1">
      <c r="P611" s="150" t="s">
        <v>6162</v>
      </c>
      <c r="Q611" s="150"/>
      <c r="R611" s="98"/>
      <c r="S611" s="146"/>
      <c r="T611" s="279" t="s">
        <v>6163</v>
      </c>
      <c r="U611" s="279" t="s">
        <v>4980</v>
      </c>
      <c r="AA611"/>
      <c r="AB611"/>
      <c r="AC611" s="272"/>
      <c r="AD611" s="40"/>
    </row>
    <row r="612" spans="16:30" ht="10.5" customHeight="1">
      <c r="P612" s="150" t="s">
        <v>6164</v>
      </c>
      <c r="Q612" s="150"/>
      <c r="R612" s="98"/>
      <c r="S612" s="146"/>
      <c r="T612" s="279" t="s">
        <v>6165</v>
      </c>
      <c r="U612" s="279" t="s">
        <v>5217</v>
      </c>
      <c r="AA612"/>
      <c r="AB612"/>
      <c r="AC612" s="272"/>
      <c r="AD612" s="40"/>
    </row>
    <row r="613" spans="16:30" ht="10.5" customHeight="1">
      <c r="P613" s="150" t="s">
        <v>6166</v>
      </c>
      <c r="Q613" s="150"/>
      <c r="R613" s="98"/>
      <c r="S613" s="146"/>
      <c r="T613" s="279" t="s">
        <v>6167</v>
      </c>
      <c r="U613" s="279" t="s">
        <v>126</v>
      </c>
      <c r="AA613"/>
      <c r="AB613"/>
      <c r="AC613" s="272"/>
      <c r="AD613" s="40"/>
    </row>
    <row r="614" spans="16:30" ht="10.5" customHeight="1">
      <c r="P614" s="150" t="s">
        <v>6168</v>
      </c>
      <c r="Q614" s="150"/>
      <c r="R614" s="98"/>
      <c r="S614" s="146"/>
      <c r="T614" s="279" t="s">
        <v>6169</v>
      </c>
      <c r="U614" s="279" t="s">
        <v>126</v>
      </c>
      <c r="AA614"/>
      <c r="AB614"/>
      <c r="AC614" s="272"/>
      <c r="AD614" s="40"/>
    </row>
    <row r="615" spans="16:30" ht="10.5" customHeight="1">
      <c r="P615" s="150" t="s">
        <v>6170</v>
      </c>
      <c r="Q615" s="150"/>
      <c r="R615" s="98"/>
      <c r="S615" s="146"/>
      <c r="T615" s="279" t="s">
        <v>6171</v>
      </c>
      <c r="U615" s="279" t="s">
        <v>95</v>
      </c>
      <c r="AA615"/>
      <c r="AB615"/>
      <c r="AC615" s="272"/>
      <c r="AD615" s="40"/>
    </row>
    <row r="616" spans="16:30" ht="10.5" customHeight="1">
      <c r="P616" s="150" t="s">
        <v>6172</v>
      </c>
      <c r="Q616" s="150"/>
      <c r="R616" s="98"/>
      <c r="S616" s="146"/>
      <c r="T616" s="279" t="s">
        <v>2128</v>
      </c>
      <c r="U616" s="279" t="s">
        <v>5440</v>
      </c>
      <c r="AA616"/>
      <c r="AB616"/>
      <c r="AC616" s="272"/>
      <c r="AD616" s="40"/>
    </row>
    <row r="617" spans="16:30" ht="10.5" customHeight="1">
      <c r="P617" s="150" t="s">
        <v>6173</v>
      </c>
      <c r="Q617" s="150"/>
      <c r="R617" s="98"/>
      <c r="S617" s="146"/>
      <c r="T617" s="279" t="s">
        <v>6174</v>
      </c>
      <c r="U617" s="279" t="s">
        <v>5653</v>
      </c>
      <c r="AA617"/>
      <c r="AB617"/>
      <c r="AC617" s="272"/>
      <c r="AD617" s="40"/>
    </row>
    <row r="618" spans="16:30" ht="10.5" customHeight="1">
      <c r="P618" s="150" t="s">
        <v>6175</v>
      </c>
      <c r="Q618" s="150"/>
      <c r="R618" s="98"/>
      <c r="S618" s="146"/>
      <c r="T618" s="279" t="s">
        <v>6176</v>
      </c>
      <c r="U618" s="279" t="s">
        <v>109</v>
      </c>
      <c r="AA618"/>
      <c r="AB618"/>
      <c r="AC618" s="272"/>
      <c r="AD618" s="40"/>
    </row>
    <row r="619" spans="16:30" ht="10.5" customHeight="1">
      <c r="P619" s="150" t="s">
        <v>6177</v>
      </c>
      <c r="Q619" s="150"/>
      <c r="R619" s="98"/>
      <c r="S619" s="146"/>
      <c r="T619" s="279" t="s">
        <v>6178</v>
      </c>
      <c r="U619" s="279" t="s">
        <v>5624</v>
      </c>
      <c r="AA619"/>
      <c r="AB619"/>
      <c r="AC619" s="272"/>
      <c r="AD619" s="40"/>
    </row>
    <row r="620" spans="16:30" ht="10.5" customHeight="1">
      <c r="P620" s="150" t="s">
        <v>6179</v>
      </c>
      <c r="Q620" s="150"/>
      <c r="R620" s="98"/>
      <c r="S620" s="146"/>
      <c r="T620" s="279" t="s">
        <v>5475</v>
      </c>
      <c r="U620" s="279" t="s">
        <v>4987</v>
      </c>
      <c r="AA620"/>
      <c r="AB620"/>
      <c r="AC620" s="272"/>
      <c r="AD620" s="40"/>
    </row>
    <row r="621" spans="16:30" ht="10.5" customHeight="1">
      <c r="P621" s="150" t="s">
        <v>6180</v>
      </c>
      <c r="Q621" s="150"/>
      <c r="R621" s="98"/>
      <c r="S621" s="146"/>
      <c r="T621" s="279" t="s">
        <v>149</v>
      </c>
      <c r="U621" s="279" t="s">
        <v>150</v>
      </c>
      <c r="AA621"/>
      <c r="AB621"/>
      <c r="AC621" s="272"/>
      <c r="AD621" s="40"/>
    </row>
    <row r="622" spans="16:30" ht="10.5" customHeight="1">
      <c r="P622" s="150" t="s">
        <v>6181</v>
      </c>
      <c r="Q622" s="150"/>
      <c r="R622" s="98"/>
      <c r="S622" s="146"/>
      <c r="T622" s="279" t="s">
        <v>114</v>
      </c>
      <c r="U622" s="279" t="s">
        <v>4944</v>
      </c>
      <c r="AA622"/>
      <c r="AB622"/>
      <c r="AC622" s="272"/>
      <c r="AD622" s="40"/>
    </row>
    <row r="623" spans="16:30" ht="10.5" customHeight="1">
      <c r="P623" s="150" t="s">
        <v>6182</v>
      </c>
      <c r="Q623" s="150"/>
      <c r="R623" s="98"/>
      <c r="S623" s="146"/>
      <c r="T623" s="279" t="s">
        <v>6183</v>
      </c>
      <c r="U623" s="279" t="s">
        <v>5217</v>
      </c>
      <c r="AA623"/>
      <c r="AB623"/>
      <c r="AC623" s="272"/>
      <c r="AD623" s="40"/>
    </row>
    <row r="624" spans="16:30" ht="10.5" customHeight="1">
      <c r="P624" s="150" t="s">
        <v>6184</v>
      </c>
      <c r="Q624" s="150"/>
      <c r="R624" s="98"/>
      <c r="S624" s="146"/>
      <c r="T624" s="279" t="s">
        <v>151</v>
      </c>
      <c r="U624" s="279" t="s">
        <v>152</v>
      </c>
      <c r="AA624"/>
      <c r="AB624"/>
      <c r="AC624" s="272"/>
      <c r="AD624" s="40"/>
    </row>
    <row r="625" spans="16:30" ht="10.5" customHeight="1">
      <c r="P625" s="150" t="s">
        <v>6185</v>
      </c>
      <c r="Q625" s="150"/>
      <c r="R625" s="98"/>
      <c r="S625" s="146"/>
      <c r="T625" s="279" t="s">
        <v>6186</v>
      </c>
      <c r="U625" s="279" t="s">
        <v>4917</v>
      </c>
      <c r="AA625"/>
      <c r="AB625"/>
      <c r="AC625" s="272"/>
      <c r="AD625" s="40"/>
    </row>
    <row r="626" spans="16:30" ht="10.5" customHeight="1">
      <c r="P626" s="150" t="s">
        <v>6187</v>
      </c>
      <c r="Q626" s="150"/>
      <c r="R626" s="98"/>
      <c r="S626" s="146"/>
      <c r="T626" s="279" t="s">
        <v>6188</v>
      </c>
      <c r="U626" s="279" t="s">
        <v>5644</v>
      </c>
      <c r="AA626"/>
      <c r="AB626"/>
      <c r="AC626" s="272"/>
      <c r="AD626" s="40"/>
    </row>
    <row r="627" spans="16:30" ht="10.5" customHeight="1">
      <c r="P627" s="150" t="s">
        <v>6189</v>
      </c>
      <c r="Q627" s="150"/>
      <c r="R627" s="98"/>
      <c r="S627" s="146"/>
      <c r="T627" s="279" t="s">
        <v>6190</v>
      </c>
      <c r="U627" s="279" t="s">
        <v>5032</v>
      </c>
      <c r="AA627"/>
      <c r="AB627"/>
      <c r="AC627" s="272"/>
      <c r="AD627" s="40"/>
    </row>
    <row r="628" spans="16:30" ht="10.5" customHeight="1">
      <c r="P628" s="150" t="s">
        <v>6191</v>
      </c>
      <c r="Q628" s="150"/>
      <c r="R628" s="98"/>
      <c r="S628" s="146"/>
      <c r="T628" s="146" t="s">
        <v>153</v>
      </c>
      <c r="U628" s="146" t="s">
        <v>84</v>
      </c>
      <c r="AA628"/>
      <c r="AB628"/>
      <c r="AC628" s="40"/>
      <c r="AD628" s="40"/>
    </row>
    <row r="629" spans="16:30" ht="10.5" customHeight="1">
      <c r="P629" s="150" t="s">
        <v>6192</v>
      </c>
      <c r="Q629" s="150"/>
      <c r="R629" s="98"/>
      <c r="S629" s="146"/>
      <c r="T629" s="279" t="s">
        <v>154</v>
      </c>
      <c r="U629" s="279" t="s">
        <v>155</v>
      </c>
      <c r="AA629"/>
      <c r="AB629"/>
      <c r="AC629" s="272"/>
      <c r="AD629" s="40"/>
    </row>
    <row r="630" spans="16:30" ht="10.5" customHeight="1">
      <c r="P630" s="150" t="s">
        <v>6193</v>
      </c>
      <c r="Q630" s="150"/>
      <c r="R630" s="98"/>
      <c r="S630" s="146"/>
      <c r="T630" s="279" t="s">
        <v>6194</v>
      </c>
      <c r="U630" s="279" t="s">
        <v>95</v>
      </c>
      <c r="AA630"/>
      <c r="AB630"/>
      <c r="AC630" s="272"/>
      <c r="AD630" s="40"/>
    </row>
    <row r="631" spans="16:30" ht="10.5" customHeight="1">
      <c r="P631" s="150" t="s">
        <v>6195</v>
      </c>
      <c r="Q631" s="150"/>
      <c r="R631" s="98"/>
      <c r="S631" s="146"/>
      <c r="T631" s="279" t="s">
        <v>6196</v>
      </c>
      <c r="U631" s="279" t="s">
        <v>5505</v>
      </c>
      <c r="AA631"/>
      <c r="AB631"/>
      <c r="AC631" s="272"/>
      <c r="AD631" s="40"/>
    </row>
    <row r="632" spans="16:30" ht="10.5" customHeight="1">
      <c r="P632" s="150" t="s">
        <v>6197</v>
      </c>
      <c r="Q632" s="150"/>
      <c r="R632" s="98"/>
      <c r="S632" s="146"/>
      <c r="T632" s="279" t="s">
        <v>6198</v>
      </c>
      <c r="U632" s="279" t="s">
        <v>140</v>
      </c>
      <c r="AA632"/>
      <c r="AB632"/>
      <c r="AC632" s="272"/>
      <c r="AD632" s="40"/>
    </row>
    <row r="633" spans="16:30" ht="10.5" customHeight="1">
      <c r="P633" s="150" t="s">
        <v>6199</v>
      </c>
      <c r="Q633" s="150"/>
      <c r="R633" s="98"/>
      <c r="S633" s="146"/>
      <c r="T633" s="279" t="s">
        <v>6200</v>
      </c>
      <c r="U633" s="279" t="s">
        <v>5339</v>
      </c>
      <c r="AA633"/>
      <c r="AB633"/>
      <c r="AC633" s="272"/>
      <c r="AD633" s="40"/>
    </row>
    <row r="634" spans="16:30" ht="10.5" customHeight="1">
      <c r="P634" s="150" t="s">
        <v>6201</v>
      </c>
      <c r="Q634" s="150"/>
      <c r="R634" s="98"/>
      <c r="S634" s="146"/>
      <c r="T634" s="279" t="s">
        <v>6202</v>
      </c>
      <c r="U634" s="279" t="s">
        <v>5217</v>
      </c>
      <c r="AA634"/>
      <c r="AB634"/>
      <c r="AC634" s="272"/>
      <c r="AD634" s="40"/>
    </row>
    <row r="635" spans="16:30" ht="10.5" customHeight="1">
      <c r="P635" s="150" t="s">
        <v>6203</v>
      </c>
      <c r="Q635" s="150"/>
      <c r="R635" s="98"/>
      <c r="S635" s="146"/>
      <c r="T635" s="279" t="s">
        <v>6204</v>
      </c>
      <c r="U635" s="279" t="s">
        <v>5133</v>
      </c>
      <c r="AA635"/>
      <c r="AB635"/>
      <c r="AC635" s="272"/>
      <c r="AD635" s="40"/>
    </row>
    <row r="636" spans="16:30" ht="10.5" customHeight="1">
      <c r="P636" s="150" t="s">
        <v>6205</v>
      </c>
      <c r="Q636" s="150"/>
      <c r="R636" s="98"/>
      <c r="S636" s="146"/>
      <c r="T636" s="279" t="s">
        <v>6206</v>
      </c>
      <c r="U636" s="279" t="s">
        <v>5323</v>
      </c>
      <c r="AA636"/>
      <c r="AB636"/>
      <c r="AC636" s="272"/>
      <c r="AD636" s="40"/>
    </row>
    <row r="637" spans="16:30" ht="10.5" customHeight="1">
      <c r="P637" s="150" t="s">
        <v>6207</v>
      </c>
      <c r="Q637" s="150"/>
      <c r="R637" s="98"/>
      <c r="S637" s="146"/>
      <c r="T637" s="279" t="s">
        <v>6208</v>
      </c>
      <c r="U637" s="279" t="s">
        <v>5114</v>
      </c>
      <c r="AA637"/>
      <c r="AB637"/>
      <c r="AC637" s="272"/>
      <c r="AD637" s="40"/>
    </row>
    <row r="638" spans="16:30" ht="10.5" customHeight="1">
      <c r="P638" s="150" t="s">
        <v>6209</v>
      </c>
      <c r="Q638" s="150"/>
      <c r="R638" s="98"/>
      <c r="S638" s="146"/>
      <c r="T638" s="146" t="s">
        <v>6210</v>
      </c>
      <c r="U638" s="146" t="s">
        <v>112</v>
      </c>
      <c r="AA638"/>
      <c r="AB638"/>
      <c r="AC638" s="40"/>
      <c r="AD638" s="40"/>
    </row>
    <row r="639" spans="16:30" ht="10.5" customHeight="1">
      <c r="P639" s="150" t="s">
        <v>6211</v>
      </c>
      <c r="Q639" s="150"/>
      <c r="R639" s="98"/>
      <c r="S639" s="146"/>
      <c r="T639" s="279" t="s">
        <v>6212</v>
      </c>
      <c r="U639" s="279" t="s">
        <v>5531</v>
      </c>
      <c r="AA639"/>
      <c r="AB639"/>
      <c r="AC639" s="272"/>
      <c r="AD639" s="40"/>
    </row>
    <row r="640" spans="16:30" ht="10.5" customHeight="1">
      <c r="P640" s="150" t="s">
        <v>6213</v>
      </c>
      <c r="Q640" s="150"/>
      <c r="R640" s="98"/>
      <c r="S640" s="146"/>
      <c r="T640" s="279" t="s">
        <v>6214</v>
      </c>
      <c r="U640" s="279" t="s">
        <v>4950</v>
      </c>
      <c r="AA640"/>
      <c r="AB640"/>
      <c r="AC640" s="272"/>
      <c r="AD640" s="40"/>
    </row>
    <row r="641" spans="16:30" ht="10.5" customHeight="1">
      <c r="P641" s="150" t="s">
        <v>6215</v>
      </c>
      <c r="Q641" s="150"/>
      <c r="R641" s="98"/>
      <c r="S641" s="146"/>
      <c r="T641" s="146" t="s">
        <v>6216</v>
      </c>
      <c r="U641" s="146" t="s">
        <v>2147</v>
      </c>
      <c r="AA641"/>
      <c r="AB641"/>
      <c r="AC641" s="40"/>
      <c r="AD641" s="40"/>
    </row>
    <row r="642" spans="16:30" ht="10.5" customHeight="1">
      <c r="P642" s="150" t="s">
        <v>6217</v>
      </c>
      <c r="Q642" s="150"/>
      <c r="R642" s="98"/>
      <c r="S642" s="146"/>
      <c r="T642" s="279" t="s">
        <v>6218</v>
      </c>
      <c r="U642" s="279" t="s">
        <v>5146</v>
      </c>
      <c r="AA642"/>
      <c r="AB642"/>
      <c r="AC642" s="272"/>
      <c r="AD642" s="40"/>
    </row>
    <row r="643" spans="16:30" ht="10.5" customHeight="1">
      <c r="P643" s="150" t="s">
        <v>6219</v>
      </c>
      <c r="Q643" s="150"/>
      <c r="R643" s="98"/>
      <c r="S643" s="146"/>
      <c r="T643" s="279" t="s">
        <v>6220</v>
      </c>
      <c r="U643" s="279" t="s">
        <v>123</v>
      </c>
      <c r="AA643"/>
      <c r="AB643"/>
      <c r="AC643" s="272"/>
      <c r="AD643" s="40"/>
    </row>
    <row r="644" spans="16:30" ht="10.5" customHeight="1">
      <c r="P644" s="150" t="s">
        <v>6221</v>
      </c>
      <c r="Q644" s="150"/>
      <c r="R644" s="98"/>
      <c r="S644" s="146"/>
      <c r="T644" s="279" t="s">
        <v>6222</v>
      </c>
      <c r="U644" s="279" t="s">
        <v>89</v>
      </c>
      <c r="AA644"/>
      <c r="AB644"/>
      <c r="AC644" s="272"/>
      <c r="AD644" s="40"/>
    </row>
    <row r="645" spans="16:30" ht="10.5" customHeight="1">
      <c r="P645" s="150" t="s">
        <v>6223</v>
      </c>
      <c r="Q645" s="150"/>
      <c r="R645" s="98"/>
      <c r="S645" s="146"/>
      <c r="T645" s="279" t="s">
        <v>6224</v>
      </c>
      <c r="U645" s="279" t="s">
        <v>5063</v>
      </c>
      <c r="AA645"/>
      <c r="AB645"/>
      <c r="AC645" s="272"/>
      <c r="AD645" s="40"/>
    </row>
    <row r="646" spans="16:30" ht="10.5" customHeight="1">
      <c r="P646" s="150" t="s">
        <v>6225</v>
      </c>
      <c r="Q646" s="150"/>
      <c r="R646" s="98"/>
      <c r="S646" s="146"/>
      <c r="T646" s="279" t="s">
        <v>6226</v>
      </c>
      <c r="U646" s="279" t="s">
        <v>5085</v>
      </c>
      <c r="AA646"/>
      <c r="AB646"/>
      <c r="AC646" s="272"/>
      <c r="AD646" s="40"/>
    </row>
    <row r="647" spans="16:30" ht="10.5" customHeight="1">
      <c r="P647" s="150" t="s">
        <v>6227</v>
      </c>
      <c r="Q647" s="150"/>
      <c r="R647" s="98"/>
      <c r="S647" s="146"/>
      <c r="T647" s="279" t="s">
        <v>156</v>
      </c>
      <c r="U647" s="279" t="s">
        <v>157</v>
      </c>
      <c r="AA647"/>
      <c r="AB647"/>
      <c r="AC647" s="272"/>
      <c r="AD647" s="40"/>
    </row>
    <row r="648" spans="16:30" ht="10.5" customHeight="1">
      <c r="P648" s="150" t="s">
        <v>6228</v>
      </c>
      <c r="Q648" s="150"/>
      <c r="R648" s="98"/>
      <c r="S648" s="146"/>
      <c r="T648" s="279" t="s">
        <v>6229</v>
      </c>
      <c r="U648" s="279" t="s">
        <v>4869</v>
      </c>
      <c r="AA648"/>
      <c r="AB648"/>
      <c r="AC648" s="272"/>
      <c r="AD648" s="40"/>
    </row>
    <row r="649" spans="16:30" ht="10.5" customHeight="1">
      <c r="P649" s="150" t="s">
        <v>6230</v>
      </c>
      <c r="Q649" s="150"/>
      <c r="R649" s="98"/>
      <c r="S649" s="146"/>
      <c r="T649" s="146" t="s">
        <v>6231</v>
      </c>
      <c r="U649" s="146" t="s">
        <v>4870</v>
      </c>
      <c r="AA649"/>
      <c r="AB649"/>
      <c r="AC649" s="40"/>
      <c r="AD649" s="40"/>
    </row>
    <row r="650" spans="16:30" ht="10.5" customHeight="1">
      <c r="P650" s="150" t="s">
        <v>6232</v>
      </c>
      <c r="Q650" s="150"/>
      <c r="R650" s="98"/>
      <c r="S650" s="146"/>
      <c r="T650" s="279" t="s">
        <v>2130</v>
      </c>
      <c r="U650" s="279" t="s">
        <v>5002</v>
      </c>
      <c r="AA650"/>
      <c r="AB650"/>
      <c r="AC650" s="272"/>
      <c r="AD650" s="40"/>
    </row>
    <row r="651" spans="16:30" ht="10.5" customHeight="1">
      <c r="P651" s="150" t="s">
        <v>6233</v>
      </c>
      <c r="Q651" s="150"/>
      <c r="R651" s="98"/>
      <c r="S651" s="146"/>
      <c r="T651" s="279" t="s">
        <v>6234</v>
      </c>
      <c r="U651" s="279" t="s">
        <v>5510</v>
      </c>
      <c r="AA651"/>
      <c r="AB651"/>
      <c r="AC651" s="272"/>
      <c r="AD651" s="40"/>
    </row>
    <row r="652" spans="16:30" ht="10.5" customHeight="1">
      <c r="P652" s="150" t="s">
        <v>6235</v>
      </c>
      <c r="Q652" s="150"/>
      <c r="R652" s="98"/>
      <c r="S652" s="146"/>
      <c r="T652" s="279" t="s">
        <v>2132</v>
      </c>
      <c r="U652" s="279" t="s">
        <v>164</v>
      </c>
      <c r="AA652"/>
      <c r="AB652"/>
      <c r="AC652" s="272"/>
      <c r="AD652" s="40"/>
    </row>
    <row r="653" spans="16:30" ht="10.5" customHeight="1">
      <c r="P653" s="150" t="s">
        <v>6236</v>
      </c>
      <c r="Q653" s="150"/>
      <c r="R653" s="98"/>
      <c r="S653" s="146"/>
      <c r="T653" s="279" t="s">
        <v>6237</v>
      </c>
      <c r="U653" s="279" t="s">
        <v>4992</v>
      </c>
      <c r="AA653"/>
      <c r="AB653"/>
      <c r="AC653" s="272"/>
      <c r="AD653" s="40"/>
    </row>
    <row r="654" spans="16:30" ht="10.5" customHeight="1">
      <c r="P654" s="150" t="s">
        <v>6238</v>
      </c>
      <c r="Q654" s="150"/>
      <c r="R654" s="98"/>
      <c r="S654" s="146"/>
      <c r="T654" s="146" t="s">
        <v>6239</v>
      </c>
      <c r="U654" s="146" t="s">
        <v>92</v>
      </c>
      <c r="AA654"/>
      <c r="AB654"/>
      <c r="AC654" s="40"/>
      <c r="AD654" s="40"/>
    </row>
    <row r="655" spans="16:30" ht="10.5" customHeight="1">
      <c r="P655" s="150" t="s">
        <v>6240</v>
      </c>
      <c r="Q655" s="150"/>
      <c r="R655" s="98"/>
      <c r="S655" s="146"/>
      <c r="T655" s="279" t="s">
        <v>6241</v>
      </c>
      <c r="U655" s="279" t="s">
        <v>142</v>
      </c>
      <c r="AA655"/>
      <c r="AB655"/>
      <c r="AC655" s="272"/>
      <c r="AD655" s="40"/>
    </row>
    <row r="656" spans="16:30" ht="10.5" customHeight="1">
      <c r="P656" s="150" t="s">
        <v>6242</v>
      </c>
      <c r="Q656" s="150"/>
      <c r="R656" s="98"/>
      <c r="S656" s="146"/>
      <c r="T656" s="279" t="s">
        <v>6243</v>
      </c>
      <c r="U656" s="279" t="s">
        <v>5193</v>
      </c>
      <c r="AA656"/>
      <c r="AB656"/>
      <c r="AC656" s="272"/>
      <c r="AD656" s="40"/>
    </row>
    <row r="657" spans="16:30" ht="10.5" customHeight="1">
      <c r="P657" s="150" t="s">
        <v>6244</v>
      </c>
      <c r="Q657" s="150"/>
      <c r="R657" s="98"/>
      <c r="S657" s="146"/>
      <c r="T657" s="279" t="s">
        <v>158</v>
      </c>
      <c r="U657" s="279" t="s">
        <v>159</v>
      </c>
      <c r="AA657"/>
      <c r="AB657"/>
      <c r="AC657" s="272"/>
      <c r="AD657" s="40"/>
    </row>
    <row r="658" spans="16:30" ht="10.5" customHeight="1">
      <c r="P658" s="150" t="s">
        <v>6245</v>
      </c>
      <c r="Q658" s="150"/>
      <c r="R658" s="98"/>
      <c r="S658" s="146"/>
      <c r="T658" s="279" t="s">
        <v>6246</v>
      </c>
      <c r="U658" s="279" t="s">
        <v>5228</v>
      </c>
      <c r="AA658"/>
      <c r="AB658"/>
      <c r="AC658" s="272"/>
      <c r="AD658" s="40"/>
    </row>
    <row r="659" spans="16:30" ht="10.5" customHeight="1">
      <c r="P659" s="150" t="s">
        <v>6247</v>
      </c>
      <c r="Q659" s="150"/>
      <c r="R659" s="98"/>
      <c r="S659" s="146"/>
      <c r="T659" s="279" t="s">
        <v>6248</v>
      </c>
      <c r="U659" s="279" t="s">
        <v>5083</v>
      </c>
      <c r="AA659"/>
      <c r="AB659"/>
      <c r="AC659" s="272"/>
      <c r="AD659" s="40"/>
    </row>
    <row r="660" spans="16:30" ht="10.5" customHeight="1">
      <c r="P660" s="150" t="s">
        <v>6249</v>
      </c>
      <c r="Q660" s="150"/>
      <c r="R660" s="98"/>
      <c r="S660" s="146"/>
      <c r="T660" s="146" t="s">
        <v>161</v>
      </c>
      <c r="U660" s="146" t="s">
        <v>123</v>
      </c>
      <c r="AA660"/>
      <c r="AB660"/>
      <c r="AC660" s="40"/>
      <c r="AD660" s="40"/>
    </row>
    <row r="661" spans="16:30" ht="10.5" customHeight="1">
      <c r="P661" s="150" t="s">
        <v>6250</v>
      </c>
      <c r="Q661" s="150"/>
      <c r="R661" s="98"/>
      <c r="S661" s="146"/>
      <c r="T661" s="279" t="s">
        <v>6251</v>
      </c>
      <c r="U661" s="279" t="s">
        <v>2147</v>
      </c>
      <c r="AA661"/>
      <c r="AB661"/>
      <c r="AC661" s="272"/>
      <c r="AD661" s="40"/>
    </row>
    <row r="662" spans="16:30" ht="10.5" customHeight="1">
      <c r="P662" s="150" t="s">
        <v>6252</v>
      </c>
      <c r="Q662" s="150"/>
      <c r="R662" s="98"/>
      <c r="S662" s="146"/>
      <c r="T662" s="279" t="s">
        <v>6253</v>
      </c>
      <c r="U662" s="279" t="s">
        <v>142</v>
      </c>
      <c r="AA662"/>
      <c r="AB662"/>
      <c r="AC662" s="272"/>
      <c r="AD662" s="40"/>
    </row>
    <row r="663" spans="16:30" ht="10.5" customHeight="1">
      <c r="P663" s="150" t="s">
        <v>6254</v>
      </c>
      <c r="Q663" s="150"/>
      <c r="R663" s="98"/>
      <c r="S663" s="146"/>
      <c r="T663" s="279" t="s">
        <v>6255</v>
      </c>
      <c r="U663" s="279" t="s">
        <v>5568</v>
      </c>
      <c r="AA663"/>
      <c r="AB663"/>
      <c r="AC663" s="272"/>
      <c r="AD663" s="40"/>
    </row>
    <row r="664" spans="16:30" ht="10.5" customHeight="1">
      <c r="P664" s="150" t="s">
        <v>6256</v>
      </c>
      <c r="Q664" s="150"/>
      <c r="R664" s="98"/>
      <c r="S664" s="146"/>
      <c r="T664" s="279" t="s">
        <v>6257</v>
      </c>
      <c r="U664" s="279" t="s">
        <v>4961</v>
      </c>
      <c r="AA664"/>
      <c r="AB664"/>
      <c r="AC664" s="272"/>
      <c r="AD664" s="40"/>
    </row>
    <row r="665" spans="16:30" ht="10.5" customHeight="1">
      <c r="P665" s="150" t="s">
        <v>6258</v>
      </c>
      <c r="Q665" s="150"/>
      <c r="R665" s="98"/>
      <c r="S665" s="146"/>
      <c r="T665" s="279" t="s">
        <v>6259</v>
      </c>
      <c r="U665" s="279" t="s">
        <v>5273</v>
      </c>
      <c r="AA665"/>
      <c r="AB665"/>
      <c r="AC665" s="272"/>
      <c r="AD665" s="40"/>
    </row>
    <row r="666" spans="16:30" ht="10.5" customHeight="1">
      <c r="P666" s="150" t="s">
        <v>6260</v>
      </c>
      <c r="Q666" s="150"/>
      <c r="R666" s="98"/>
      <c r="S666" s="146"/>
      <c r="T666" s="279" t="s">
        <v>6261</v>
      </c>
      <c r="U666" s="279" t="s">
        <v>5301</v>
      </c>
      <c r="AA666"/>
      <c r="AB666"/>
      <c r="AC666" s="272"/>
      <c r="AD666" s="40"/>
    </row>
    <row r="667" spans="16:30" ht="10.5" customHeight="1">
      <c r="P667" s="150" t="s">
        <v>6262</v>
      </c>
      <c r="Q667" s="150"/>
      <c r="R667" s="98"/>
      <c r="S667" s="146"/>
      <c r="T667" s="279" t="s">
        <v>6263</v>
      </c>
      <c r="U667" s="279" t="s">
        <v>5498</v>
      </c>
      <c r="AA667"/>
      <c r="AB667"/>
      <c r="AC667" s="272"/>
      <c r="AD667" s="40"/>
    </row>
    <row r="668" spans="16:30" ht="10.5" customHeight="1">
      <c r="P668" s="150" t="s">
        <v>6264</v>
      </c>
      <c r="Q668" s="150"/>
      <c r="R668" s="98"/>
      <c r="S668" s="146"/>
      <c r="T668" s="279" t="s">
        <v>4859</v>
      </c>
      <c r="U668" s="279" t="s">
        <v>126</v>
      </c>
      <c r="AA668"/>
      <c r="AB668"/>
      <c r="AC668" s="272"/>
      <c r="AD668" s="40"/>
    </row>
    <row r="669" spans="16:30" ht="10.5" customHeight="1">
      <c r="P669" s="150" t="s">
        <v>6265</v>
      </c>
      <c r="Q669" s="150"/>
      <c r="R669" s="98"/>
      <c r="S669" s="146"/>
      <c r="T669" s="279" t="s">
        <v>6266</v>
      </c>
      <c r="U669" s="279" t="s">
        <v>5554</v>
      </c>
      <c r="AA669"/>
      <c r="AB669"/>
      <c r="AC669" s="272"/>
      <c r="AD669" s="40"/>
    </row>
    <row r="670" spans="16:30" ht="10.5" customHeight="1">
      <c r="P670" s="150" t="s">
        <v>6267</v>
      </c>
      <c r="Q670" s="150"/>
      <c r="R670" s="98"/>
      <c r="S670" s="146"/>
      <c r="T670" s="279" t="s">
        <v>162</v>
      </c>
      <c r="U670" s="279" t="s">
        <v>84</v>
      </c>
      <c r="AA670"/>
      <c r="AB670"/>
      <c r="AC670" s="272"/>
      <c r="AD670" s="40"/>
    </row>
    <row r="671" spans="16:30" ht="10.5" customHeight="1">
      <c r="P671" s="150" t="s">
        <v>6268</v>
      </c>
      <c r="Q671" s="150"/>
      <c r="R671" s="98"/>
      <c r="S671" s="146"/>
      <c r="T671" s="146" t="s">
        <v>5510</v>
      </c>
      <c r="U671" s="146" t="s">
        <v>5619</v>
      </c>
      <c r="AA671"/>
      <c r="AB671"/>
      <c r="AC671" s="40"/>
      <c r="AD671" s="40"/>
    </row>
    <row r="672" spans="16:30" ht="10.5" customHeight="1">
      <c r="P672" s="150" t="s">
        <v>6269</v>
      </c>
      <c r="Q672" s="150"/>
      <c r="R672" s="98"/>
      <c r="S672" s="146"/>
      <c r="T672" s="279" t="s">
        <v>6270</v>
      </c>
      <c r="U672" s="279" t="s">
        <v>104</v>
      </c>
      <c r="AA672"/>
      <c r="AB672"/>
      <c r="AC672" s="272"/>
      <c r="AD672" s="40"/>
    </row>
    <row r="673" spans="16:30" ht="10.5" customHeight="1">
      <c r="P673" s="150" t="s">
        <v>6271</v>
      </c>
      <c r="Q673" s="150"/>
      <c r="R673" s="98"/>
      <c r="S673" s="146"/>
      <c r="T673" s="279" t="s">
        <v>6272</v>
      </c>
      <c r="U673" s="279" t="s">
        <v>4869</v>
      </c>
      <c r="AA673"/>
      <c r="AB673"/>
      <c r="AC673" s="272"/>
      <c r="AD673" s="40"/>
    </row>
    <row r="674" spans="16:30" ht="10.5" customHeight="1">
      <c r="P674" s="150" t="s">
        <v>6273</v>
      </c>
      <c r="Q674" s="150"/>
      <c r="R674" s="98"/>
      <c r="S674" s="146"/>
      <c r="T674" s="279" t="s">
        <v>6274</v>
      </c>
      <c r="U674" s="279" t="s">
        <v>5296</v>
      </c>
      <c r="AA674"/>
      <c r="AB674"/>
      <c r="AC674" s="272"/>
      <c r="AD674" s="40"/>
    </row>
    <row r="675" spans="16:30" ht="10.5" customHeight="1">
      <c r="P675" s="150" t="s">
        <v>6275</v>
      </c>
      <c r="Q675" s="150"/>
      <c r="R675" s="98"/>
      <c r="S675" s="146"/>
      <c r="T675" s="279" t="s">
        <v>163</v>
      </c>
      <c r="U675" s="279" t="s">
        <v>164</v>
      </c>
      <c r="AA675"/>
      <c r="AB675"/>
      <c r="AC675" s="272"/>
      <c r="AD675" s="40"/>
    </row>
    <row r="676" spans="16:30" ht="10.5" customHeight="1">
      <c r="P676" s="150" t="s">
        <v>6276</v>
      </c>
      <c r="Q676" s="150"/>
      <c r="R676" s="98"/>
      <c r="S676" s="146"/>
      <c r="T676" s="279" t="s">
        <v>6277</v>
      </c>
      <c r="U676" s="279" t="s">
        <v>5543</v>
      </c>
      <c r="AA676"/>
      <c r="AB676"/>
      <c r="AC676" s="272"/>
      <c r="AD676" s="40"/>
    </row>
    <row r="677" spans="16:30" ht="10.5" customHeight="1">
      <c r="P677" s="150" t="s">
        <v>6278</v>
      </c>
      <c r="Q677" s="150"/>
      <c r="R677" s="98"/>
      <c r="S677" s="146"/>
      <c r="T677" s="279" t="s">
        <v>6279</v>
      </c>
      <c r="U677" s="279" t="s">
        <v>104</v>
      </c>
      <c r="AA677"/>
      <c r="AB677"/>
      <c r="AC677" s="272"/>
      <c r="AD677" s="40"/>
    </row>
    <row r="678" spans="16:30" ht="10.5" customHeight="1">
      <c r="P678" s="150" t="s">
        <v>6280</v>
      </c>
      <c r="Q678" s="150"/>
      <c r="R678" s="98"/>
      <c r="S678" s="146"/>
      <c r="T678" s="279" t="s">
        <v>6281</v>
      </c>
      <c r="U678" s="279" t="s">
        <v>5493</v>
      </c>
      <c r="AA678"/>
      <c r="AB678"/>
      <c r="AC678" s="272"/>
      <c r="AD678" s="40"/>
    </row>
    <row r="679" spans="16:30" ht="10.5" customHeight="1">
      <c r="P679" s="150" t="s">
        <v>6282</v>
      </c>
      <c r="Q679" s="150"/>
      <c r="R679" s="98"/>
      <c r="S679" s="146"/>
      <c r="T679" s="279" t="s">
        <v>6283</v>
      </c>
      <c r="U679" s="279" t="s">
        <v>5264</v>
      </c>
      <c r="AA679"/>
      <c r="AB679"/>
      <c r="AC679" s="272"/>
      <c r="AD679" s="40"/>
    </row>
    <row r="680" spans="16:30" ht="10.5" customHeight="1">
      <c r="P680" s="150" t="s">
        <v>6284</v>
      </c>
      <c r="Q680" s="150"/>
      <c r="R680" s="98"/>
      <c r="S680" s="146"/>
      <c r="T680" s="279" t="s">
        <v>6285</v>
      </c>
      <c r="U680" s="279" t="s">
        <v>5230</v>
      </c>
      <c r="AA680"/>
      <c r="AB680"/>
      <c r="AC680" s="272"/>
      <c r="AD680" s="40"/>
    </row>
    <row r="681" spans="16:30" ht="10.5" customHeight="1">
      <c r="P681" s="150" t="s">
        <v>6286</v>
      </c>
      <c r="Q681" s="150"/>
      <c r="R681" s="98"/>
      <c r="S681" s="146"/>
      <c r="T681" s="279" t="s">
        <v>165</v>
      </c>
      <c r="U681" s="279" t="s">
        <v>126</v>
      </c>
      <c r="AA681"/>
      <c r="AB681"/>
      <c r="AC681" s="272"/>
      <c r="AD681" s="40"/>
    </row>
    <row r="682" spans="16:30" ht="10.5" customHeight="1">
      <c r="P682" s="150" t="s">
        <v>6287</v>
      </c>
      <c r="Q682" s="150"/>
      <c r="R682" s="98"/>
      <c r="S682" s="146"/>
      <c r="T682" s="279" t="s">
        <v>6288</v>
      </c>
      <c r="U682" s="279" t="s">
        <v>5488</v>
      </c>
      <c r="AA682"/>
      <c r="AB682"/>
      <c r="AC682" s="272"/>
      <c r="AD682" s="40"/>
    </row>
    <row r="683" spans="16:30" ht="10.5" customHeight="1">
      <c r="P683" s="150" t="s">
        <v>6289</v>
      </c>
      <c r="Q683" s="150"/>
      <c r="R683" s="98"/>
      <c r="S683" s="146"/>
      <c r="T683" s="146" t="s">
        <v>6290</v>
      </c>
      <c r="U683" s="146" t="s">
        <v>5346</v>
      </c>
      <c r="AA683"/>
      <c r="AB683"/>
      <c r="AC683" s="40"/>
      <c r="AD683" s="40"/>
    </row>
    <row r="684" spans="16:30" ht="10.5" customHeight="1">
      <c r="P684" s="150" t="s">
        <v>6291</v>
      </c>
      <c r="Q684" s="150"/>
      <c r="R684" s="98"/>
      <c r="S684" s="146"/>
      <c r="T684" s="146" t="s">
        <v>2135</v>
      </c>
      <c r="U684" s="146" t="s">
        <v>109</v>
      </c>
      <c r="AA684"/>
      <c r="AB684"/>
      <c r="AC684" s="40"/>
      <c r="AD684" s="40"/>
    </row>
    <row r="685" spans="16:30" ht="10.5" customHeight="1">
      <c r="P685" s="150" t="s">
        <v>6292</v>
      </c>
      <c r="Q685" s="150"/>
      <c r="R685" s="98"/>
      <c r="S685" s="146"/>
      <c r="T685" s="279" t="s">
        <v>6293</v>
      </c>
      <c r="U685" s="279" t="s">
        <v>5133</v>
      </c>
      <c r="AA685"/>
      <c r="AB685"/>
      <c r="AC685" s="272"/>
      <c r="AD685" s="40"/>
    </row>
    <row r="686" spans="16:30" ht="10.5" customHeight="1">
      <c r="P686" s="150" t="s">
        <v>6294</v>
      </c>
      <c r="Q686" s="150"/>
      <c r="R686" s="98"/>
      <c r="S686" s="146"/>
      <c r="T686" s="279" t="s">
        <v>2136</v>
      </c>
      <c r="U686" s="279" t="s">
        <v>5150</v>
      </c>
      <c r="AA686"/>
      <c r="AB686"/>
      <c r="AC686" s="272"/>
      <c r="AD686" s="40"/>
    </row>
    <row r="687" spans="16:30" ht="10.5" customHeight="1">
      <c r="P687" s="150" t="s">
        <v>6295</v>
      </c>
      <c r="Q687" s="150"/>
      <c r="R687" s="98"/>
      <c r="S687" s="146"/>
      <c r="T687" s="279" t="s">
        <v>6296</v>
      </c>
      <c r="U687" s="279" t="s">
        <v>5576</v>
      </c>
      <c r="AA687"/>
      <c r="AB687"/>
      <c r="AC687" s="272"/>
      <c r="AD687" s="40"/>
    </row>
    <row r="688" spans="16:30" ht="10.5" customHeight="1">
      <c r="P688" s="150" t="s">
        <v>6297</v>
      </c>
      <c r="Q688" s="150"/>
      <c r="R688" s="98"/>
      <c r="S688" s="146"/>
      <c r="T688" s="279" t="s">
        <v>6298</v>
      </c>
      <c r="U688" s="279" t="s">
        <v>142</v>
      </c>
      <c r="AA688"/>
      <c r="AB688"/>
      <c r="AC688" s="272"/>
      <c r="AD688" s="40"/>
    </row>
    <row r="689" spans="16:30" ht="10.5" customHeight="1">
      <c r="P689" s="150" t="s">
        <v>6299</v>
      </c>
      <c r="Q689" s="150"/>
      <c r="R689" s="98"/>
      <c r="S689" s="146"/>
      <c r="T689" s="279" t="s">
        <v>6300</v>
      </c>
      <c r="U689" s="279" t="s">
        <v>4891</v>
      </c>
      <c r="AA689"/>
      <c r="AB689"/>
      <c r="AC689" s="272"/>
      <c r="AD689" s="40"/>
    </row>
    <row r="690" spans="16:30" ht="10.5" customHeight="1">
      <c r="P690" s="150" t="s">
        <v>6301</v>
      </c>
      <c r="Q690" s="150"/>
      <c r="R690" s="98"/>
      <c r="S690" s="146"/>
      <c r="T690" s="279" t="s">
        <v>6302</v>
      </c>
      <c r="U690" s="279" t="s">
        <v>5251</v>
      </c>
      <c r="AA690"/>
      <c r="AB690"/>
      <c r="AC690" s="272"/>
      <c r="AD690" s="40"/>
    </row>
    <row r="691" spans="16:30" ht="10.5" customHeight="1">
      <c r="P691" s="150" t="s">
        <v>6303</v>
      </c>
      <c r="Q691" s="150"/>
      <c r="R691" s="98"/>
      <c r="S691" s="146"/>
      <c r="T691" s="279" t="s">
        <v>6304</v>
      </c>
      <c r="U691" s="279" t="s">
        <v>5146</v>
      </c>
      <c r="AA691"/>
      <c r="AB691"/>
      <c r="AC691" s="272"/>
      <c r="AD691" s="40"/>
    </row>
    <row r="692" spans="16:30" ht="10.5" customHeight="1">
      <c r="P692" s="150" t="s">
        <v>6305</v>
      </c>
      <c r="Q692" s="150"/>
      <c r="R692" s="98"/>
      <c r="S692" s="146"/>
      <c r="T692" s="279" t="s">
        <v>6306</v>
      </c>
      <c r="U692" s="279" t="s">
        <v>128</v>
      </c>
      <c r="AA692"/>
      <c r="AB692"/>
      <c r="AC692" s="272"/>
      <c r="AD692" s="40"/>
    </row>
    <row r="693" spans="16:30" ht="10.5" customHeight="1">
      <c r="P693" s="150" t="s">
        <v>6307</v>
      </c>
      <c r="Q693" s="150"/>
      <c r="R693" s="98"/>
      <c r="S693" s="146"/>
      <c r="T693" s="279" t="s">
        <v>160</v>
      </c>
      <c r="U693" s="279" t="s">
        <v>99</v>
      </c>
      <c r="AA693"/>
      <c r="AB693"/>
      <c r="AC693" s="272"/>
      <c r="AD693" s="40"/>
    </row>
    <row r="694" spans="16:30" ht="10.5" customHeight="1">
      <c r="P694" s="150" t="s">
        <v>6308</v>
      </c>
      <c r="Q694" s="150"/>
      <c r="R694" s="98"/>
      <c r="S694" s="146"/>
      <c r="T694" s="279" t="s">
        <v>6309</v>
      </c>
      <c r="U694" s="279" t="s">
        <v>5073</v>
      </c>
      <c r="AA694"/>
      <c r="AB694"/>
      <c r="AC694" s="272"/>
      <c r="AD694" s="40"/>
    </row>
    <row r="695" spans="16:30" ht="10.5" customHeight="1">
      <c r="P695" s="150" t="s">
        <v>6310</v>
      </c>
      <c r="Q695" s="150"/>
      <c r="R695" s="98"/>
      <c r="S695" s="146"/>
      <c r="T695" s="279" t="s">
        <v>6311</v>
      </c>
      <c r="U695" s="279" t="s">
        <v>5141</v>
      </c>
      <c r="AA695"/>
      <c r="AB695"/>
      <c r="AC695" s="272"/>
      <c r="AD695" s="40"/>
    </row>
    <row r="696" spans="16:30" ht="10.5" customHeight="1">
      <c r="P696" s="150" t="s">
        <v>6312</v>
      </c>
      <c r="Q696" s="150"/>
      <c r="R696" s="98"/>
      <c r="S696" s="146"/>
      <c r="T696" s="279" t="s">
        <v>2137</v>
      </c>
      <c r="U696" s="279" t="s">
        <v>95</v>
      </c>
      <c r="AA696"/>
      <c r="AB696"/>
      <c r="AC696" s="272"/>
      <c r="AD696" s="40"/>
    </row>
    <row r="697" spans="16:30" ht="10.5" customHeight="1">
      <c r="P697" s="150" t="s">
        <v>6313</v>
      </c>
      <c r="Q697" s="150"/>
      <c r="R697" s="98"/>
      <c r="S697" s="146"/>
      <c r="T697" s="279" t="s">
        <v>6314</v>
      </c>
      <c r="U697" s="279" t="s">
        <v>159</v>
      </c>
      <c r="AA697"/>
      <c r="AB697"/>
      <c r="AC697" s="272"/>
      <c r="AD697" s="40"/>
    </row>
    <row r="698" spans="16:30" ht="10.5" customHeight="1">
      <c r="P698" s="150" t="s">
        <v>6315</v>
      </c>
      <c r="Q698" s="150"/>
      <c r="R698" s="98"/>
      <c r="S698" s="146"/>
      <c r="T698" s="279" t="s">
        <v>6316</v>
      </c>
      <c r="U698" s="279" t="s">
        <v>5159</v>
      </c>
      <c r="AA698"/>
      <c r="AB698"/>
      <c r="AC698" s="272"/>
      <c r="AD698" s="40"/>
    </row>
    <row r="699" spans="16:30" ht="10.5" customHeight="1">
      <c r="P699" s="150" t="s">
        <v>6317</v>
      </c>
      <c r="Q699" s="150"/>
      <c r="R699" s="98"/>
      <c r="S699" s="146"/>
      <c r="T699" s="279" t="s">
        <v>6318</v>
      </c>
      <c r="U699" s="279" t="s">
        <v>87</v>
      </c>
      <c r="AA699"/>
      <c r="AB699"/>
      <c r="AC699" s="272"/>
      <c r="AD699" s="40"/>
    </row>
    <row r="700" spans="16:30" ht="10.5" customHeight="1">
      <c r="P700" s="150" t="s">
        <v>6319</v>
      </c>
      <c r="Q700" s="150"/>
      <c r="R700" s="98"/>
      <c r="S700" s="146"/>
      <c r="T700" s="279" t="s">
        <v>6320</v>
      </c>
      <c r="U700" s="279" t="s">
        <v>84</v>
      </c>
      <c r="AA700"/>
      <c r="AB700"/>
      <c r="AC700" s="272"/>
      <c r="AD700" s="40"/>
    </row>
    <row r="701" spans="16:30" ht="10.5" customHeight="1">
      <c r="P701" s="150" t="s">
        <v>6321</v>
      </c>
      <c r="Q701" s="150"/>
      <c r="R701" s="98"/>
      <c r="S701" s="146"/>
      <c r="T701" s="279" t="s">
        <v>6322</v>
      </c>
      <c r="U701" s="279" t="s">
        <v>84</v>
      </c>
      <c r="AA701"/>
      <c r="AB701"/>
      <c r="AC701" s="272"/>
      <c r="AD701" s="40"/>
    </row>
    <row r="702" spans="16:30" ht="10.5" customHeight="1">
      <c r="P702" s="150" t="s">
        <v>6323</v>
      </c>
      <c r="Q702" s="150"/>
      <c r="R702" s="98"/>
      <c r="S702" s="146"/>
      <c r="T702" s="279" t="s">
        <v>6324</v>
      </c>
      <c r="U702" s="279" t="s">
        <v>5133</v>
      </c>
      <c r="AA702"/>
      <c r="AB702"/>
      <c r="AC702" s="272"/>
      <c r="AD702" s="40"/>
    </row>
    <row r="703" spans="16:30" ht="10.5" customHeight="1">
      <c r="P703" s="150" t="s">
        <v>6325</v>
      </c>
      <c r="Q703" s="150"/>
      <c r="R703" s="98"/>
      <c r="S703" s="146"/>
      <c r="T703" s="279" t="s">
        <v>6326</v>
      </c>
      <c r="U703" s="279" t="s">
        <v>5159</v>
      </c>
      <c r="AA703"/>
      <c r="AB703"/>
      <c r="AC703" s="272"/>
      <c r="AD703" s="40"/>
    </row>
    <row r="704" spans="16:30" ht="10.5" customHeight="1">
      <c r="P704" s="150" t="s">
        <v>6327</v>
      </c>
      <c r="Q704" s="150"/>
      <c r="R704" s="98"/>
      <c r="S704" s="146"/>
      <c r="T704" s="279" t="s">
        <v>6328</v>
      </c>
      <c r="U704" s="279" t="s">
        <v>5021</v>
      </c>
      <c r="AA704"/>
      <c r="AB704"/>
      <c r="AC704" s="272"/>
      <c r="AD704" s="40"/>
    </row>
    <row r="705" spans="16:30" ht="10.5" customHeight="1">
      <c r="P705" s="150" t="s">
        <v>6329</v>
      </c>
      <c r="Q705" s="150"/>
      <c r="R705" s="98"/>
      <c r="S705" s="146"/>
      <c r="T705" s="279" t="s">
        <v>6330</v>
      </c>
      <c r="U705" s="279" t="s">
        <v>5653</v>
      </c>
      <c r="AA705"/>
      <c r="AB705"/>
      <c r="AC705" s="272"/>
      <c r="AD705" s="40"/>
    </row>
    <row r="706" spans="16:30" ht="10.5" customHeight="1">
      <c r="P706" s="150" t="s">
        <v>6331</v>
      </c>
      <c r="Q706" s="2888"/>
      <c r="R706" s="2888"/>
      <c r="S706" s="2889"/>
      <c r="T706" s="279" t="s">
        <v>6332</v>
      </c>
      <c r="U706" s="279" t="s">
        <v>102</v>
      </c>
      <c r="AA706"/>
      <c r="AB706"/>
      <c r="AC706" s="272"/>
      <c r="AD706" s="40"/>
    </row>
    <row r="707" spans="16:30" ht="10.5" customHeight="1">
      <c r="P707" s="2890"/>
      <c r="Q707" s="264"/>
      <c r="R707" s="95"/>
      <c r="S707" s="96"/>
      <c r="T707" s="279" t="s">
        <v>166</v>
      </c>
      <c r="U707" s="279" t="s">
        <v>117</v>
      </c>
      <c r="AA707"/>
      <c r="AB707"/>
      <c r="AC707" s="272"/>
      <c r="AD707" s="40"/>
    </row>
    <row r="708" spans="16:30" ht="10.5" customHeight="1">
      <c r="P708" s="311"/>
      <c r="Q708" s="96"/>
      <c r="R708" s="96"/>
      <c r="S708" s="96"/>
      <c r="T708" s="279" t="s">
        <v>167</v>
      </c>
      <c r="U708" s="279" t="s">
        <v>119</v>
      </c>
      <c r="AA708"/>
      <c r="AB708"/>
      <c r="AC708" s="272"/>
      <c r="AD708" s="40"/>
    </row>
    <row r="709" spans="16:30" ht="10.5" customHeight="1">
      <c r="P709" s="96"/>
      <c r="Q709" s="96"/>
      <c r="R709" s="96"/>
      <c r="S709" s="96"/>
      <c r="T709" s="279" t="s">
        <v>6333</v>
      </c>
      <c r="U709" s="279" t="s">
        <v>4854</v>
      </c>
      <c r="AA709"/>
      <c r="AB709"/>
      <c r="AC709" s="272"/>
      <c r="AD709" s="40"/>
    </row>
    <row r="710" spans="16:30" ht="10.5" customHeight="1">
      <c r="P710" s="96"/>
      <c r="Q710" s="96"/>
      <c r="R710" s="96"/>
      <c r="S710" s="96"/>
      <c r="T710" s="279" t="s">
        <v>6334</v>
      </c>
      <c r="U710" s="279" t="s">
        <v>5133</v>
      </c>
      <c r="AA710"/>
      <c r="AB710"/>
      <c r="AC710" s="272"/>
      <c r="AD710" s="40"/>
    </row>
    <row r="711" spans="16:30" ht="10.5" customHeight="1">
      <c r="P711" s="96"/>
      <c r="Q711" s="96"/>
      <c r="R711" s="96"/>
      <c r="S711" s="96"/>
      <c r="T711" s="279" t="s">
        <v>6335</v>
      </c>
      <c r="U711" s="279" t="s">
        <v>5159</v>
      </c>
      <c r="AA711"/>
      <c r="AB711"/>
      <c r="AC711" s="272"/>
      <c r="AD711" s="40"/>
    </row>
    <row r="712" spans="16:30" ht="10.5" customHeight="1">
      <c r="P712" s="96"/>
      <c r="Q712" s="96"/>
      <c r="R712" s="96"/>
      <c r="S712" s="96"/>
      <c r="T712" s="146" t="s">
        <v>6336</v>
      </c>
      <c r="U712" s="146" t="s">
        <v>5032</v>
      </c>
      <c r="AA712"/>
      <c r="AB712"/>
      <c r="AC712" s="40"/>
      <c r="AD712" s="40"/>
    </row>
    <row r="713" spans="16:30" ht="10.5" customHeight="1">
      <c r="P713" s="96"/>
      <c r="Q713" s="96"/>
      <c r="R713" s="96"/>
      <c r="S713" s="96"/>
      <c r="T713" s="279" t="s">
        <v>6337</v>
      </c>
      <c r="U713" s="279" t="s">
        <v>5510</v>
      </c>
      <c r="AA713"/>
      <c r="AB713"/>
      <c r="AC713" s="272"/>
      <c r="AD713" s="40"/>
    </row>
    <row r="714" spans="16:30" ht="10.5" customHeight="1">
      <c r="P714" s="96"/>
      <c r="Q714" s="96"/>
      <c r="R714" s="96"/>
      <c r="S714" s="96"/>
      <c r="T714" s="279" t="s">
        <v>2138</v>
      </c>
      <c r="U714" s="279" t="s">
        <v>5653</v>
      </c>
      <c r="AA714"/>
      <c r="AB714"/>
      <c r="AC714" s="272"/>
      <c r="AD714" s="40"/>
    </row>
    <row r="715" spans="16:30" ht="10.5" customHeight="1">
      <c r="P715" s="96"/>
      <c r="Q715" s="96"/>
      <c r="R715" s="96"/>
      <c r="S715" s="96"/>
      <c r="T715" s="279" t="s">
        <v>6338</v>
      </c>
      <c r="U715" s="279" t="s">
        <v>126</v>
      </c>
      <c r="AA715"/>
      <c r="AB715"/>
      <c r="AC715" s="272"/>
      <c r="AD715" s="40"/>
    </row>
    <row r="716" spans="16:30" ht="10.5" customHeight="1">
      <c r="P716" s="96"/>
      <c r="Q716" s="96"/>
      <c r="R716" s="96"/>
      <c r="S716" s="96"/>
      <c r="T716" s="279" t="s">
        <v>6339</v>
      </c>
      <c r="U716" s="279" t="s">
        <v>5538</v>
      </c>
      <c r="AA716"/>
      <c r="AB716"/>
      <c r="AC716" s="272"/>
      <c r="AD716" s="40"/>
    </row>
    <row r="717" spans="16:30" ht="10.5" customHeight="1">
      <c r="P717" s="96"/>
      <c r="Q717" s="96"/>
      <c r="R717" s="96"/>
      <c r="S717" s="96"/>
      <c r="T717" s="279" t="s">
        <v>6340</v>
      </c>
      <c r="U717" s="279" t="s">
        <v>5460</v>
      </c>
      <c r="AA717"/>
      <c r="AB717"/>
      <c r="AC717" s="272"/>
      <c r="AD717" s="40"/>
    </row>
    <row r="718" spans="16:30" ht="10.5" customHeight="1">
      <c r="P718" s="96"/>
      <c r="Q718" s="96"/>
      <c r="R718" s="96"/>
      <c r="S718" s="96"/>
      <c r="T718" s="279" t="s">
        <v>6341</v>
      </c>
      <c r="U718" s="279" t="s">
        <v>5258</v>
      </c>
      <c r="AA718"/>
      <c r="AB718"/>
      <c r="AC718" s="272"/>
      <c r="AD718" s="40"/>
    </row>
    <row r="719" spans="16:30" ht="10.5" customHeight="1">
      <c r="P719" s="96"/>
      <c r="Q719" s="96"/>
      <c r="R719" s="96"/>
      <c r="S719" s="96"/>
      <c r="T719" s="279" t="s">
        <v>6342</v>
      </c>
      <c r="U719" s="279" t="s">
        <v>152</v>
      </c>
      <c r="AA719"/>
      <c r="AB719"/>
      <c r="AC719" s="272"/>
      <c r="AD719" s="40"/>
    </row>
    <row r="720" spans="16:30" ht="10.5" customHeight="1">
      <c r="P720" s="96"/>
      <c r="Q720" s="96"/>
      <c r="R720" s="96"/>
      <c r="S720" s="96"/>
      <c r="T720" s="279" t="s">
        <v>6343</v>
      </c>
      <c r="U720" s="279" t="s">
        <v>5009</v>
      </c>
      <c r="AA720"/>
      <c r="AB720"/>
      <c r="AC720" s="272"/>
      <c r="AD720" s="40"/>
    </row>
    <row r="721" spans="16:30" ht="10.5" customHeight="1">
      <c r="P721" s="96"/>
      <c r="Q721" s="96"/>
      <c r="R721" s="96"/>
      <c r="S721" s="96"/>
      <c r="T721" s="279" t="s">
        <v>6344</v>
      </c>
      <c r="U721" s="279" t="s">
        <v>138</v>
      </c>
      <c r="AA721"/>
      <c r="AB721"/>
      <c r="AC721" s="272"/>
      <c r="AD721" s="40"/>
    </row>
    <row r="722" spans="16:30" ht="10.5" customHeight="1">
      <c r="P722" s="96"/>
      <c r="Q722" s="96"/>
      <c r="R722" s="96"/>
      <c r="S722" s="96"/>
      <c r="T722" s="146" t="s">
        <v>6345</v>
      </c>
      <c r="U722" s="146" t="s">
        <v>117</v>
      </c>
      <c r="AA722"/>
      <c r="AB722"/>
      <c r="AC722" s="40"/>
      <c r="AD722" s="40"/>
    </row>
    <row r="723" spans="16:30" ht="10.5" customHeight="1">
      <c r="P723" s="96"/>
      <c r="Q723" s="96"/>
      <c r="R723" s="96"/>
      <c r="S723" s="96"/>
      <c r="T723" s="279" t="s">
        <v>6346</v>
      </c>
      <c r="U723" s="279" t="s">
        <v>4883</v>
      </c>
      <c r="AA723"/>
      <c r="AB723"/>
      <c r="AC723" s="272"/>
      <c r="AD723" s="40"/>
    </row>
    <row r="724" spans="16:30" ht="10.5" customHeight="1">
      <c r="P724" s="96"/>
      <c r="Q724" s="96"/>
      <c r="R724" s="96"/>
      <c r="S724" s="96"/>
      <c r="T724" s="279" t="s">
        <v>6347</v>
      </c>
      <c r="U724" s="279" t="s">
        <v>4992</v>
      </c>
      <c r="AA724"/>
      <c r="AB724"/>
      <c r="AC724" s="272"/>
      <c r="AD724" s="40"/>
    </row>
    <row r="725" spans="16:30" ht="10.5" customHeight="1">
      <c r="P725" s="96"/>
      <c r="Q725" s="96"/>
      <c r="R725" s="96"/>
      <c r="S725" s="96"/>
      <c r="T725" s="279" t="s">
        <v>6348</v>
      </c>
      <c r="U725" s="279" t="s">
        <v>2147</v>
      </c>
      <c r="AA725"/>
      <c r="AB725"/>
      <c r="AC725" s="272"/>
      <c r="AD725" s="40"/>
    </row>
    <row r="726" spans="16:30" ht="10.5" customHeight="1">
      <c r="P726" s="96"/>
      <c r="Q726" s="96"/>
      <c r="R726" s="96"/>
      <c r="S726" s="96"/>
      <c r="T726" s="279" t="s">
        <v>6349</v>
      </c>
      <c r="U726" s="279" t="s">
        <v>119</v>
      </c>
      <c r="AA726"/>
      <c r="AB726"/>
      <c r="AC726" s="272"/>
      <c r="AD726" s="40"/>
    </row>
    <row r="727" spans="16:30" ht="10.5" customHeight="1">
      <c r="P727" s="96"/>
      <c r="Q727" s="96"/>
      <c r="R727" s="96"/>
      <c r="S727" s="96"/>
      <c r="T727" s="279" t="s">
        <v>6350</v>
      </c>
      <c r="U727" s="279" t="s">
        <v>119</v>
      </c>
      <c r="AA727"/>
      <c r="AB727"/>
      <c r="AC727" s="272"/>
      <c r="AD727" s="40"/>
    </row>
    <row r="728" spans="16:30" ht="10.5" customHeight="1">
      <c r="P728" s="96"/>
      <c r="Q728" s="96"/>
      <c r="R728" s="96"/>
      <c r="S728" s="96"/>
      <c r="T728" s="279" t="s">
        <v>2139</v>
      </c>
      <c r="U728" s="279" t="s">
        <v>5112</v>
      </c>
      <c r="AA728"/>
      <c r="AB728"/>
      <c r="AC728" s="272"/>
      <c r="AD728" s="40"/>
    </row>
    <row r="729" spans="16:30" ht="10.5" customHeight="1">
      <c r="P729" s="96"/>
      <c r="Q729" s="96"/>
      <c r="R729" s="96"/>
      <c r="S729" s="96"/>
      <c r="T729" s="279" t="s">
        <v>6351</v>
      </c>
      <c r="U729" s="279" t="s">
        <v>5391</v>
      </c>
      <c r="AA729"/>
      <c r="AB729"/>
      <c r="AC729" s="272"/>
      <c r="AD729" s="40"/>
    </row>
    <row r="730" spans="16:30" ht="10.5" customHeight="1">
      <c r="P730" s="96"/>
      <c r="Q730" s="96"/>
      <c r="R730" s="96"/>
      <c r="S730" s="96"/>
      <c r="T730" s="279" t="s">
        <v>6352</v>
      </c>
      <c r="U730" s="279" t="s">
        <v>126</v>
      </c>
      <c r="AA730"/>
      <c r="AB730"/>
      <c r="AC730" s="272"/>
      <c r="AD730" s="40"/>
    </row>
    <row r="731" spans="16:30" ht="10.5" customHeight="1">
      <c r="P731" s="96"/>
      <c r="Q731" s="96"/>
      <c r="R731" s="96"/>
      <c r="S731" s="96"/>
      <c r="T731" s="146" t="s">
        <v>2140</v>
      </c>
      <c r="U731" s="146" t="s">
        <v>148</v>
      </c>
      <c r="AA731"/>
      <c r="AB731"/>
      <c r="AC731" s="40"/>
      <c r="AD731" s="40"/>
    </row>
    <row r="732" spans="16:30" ht="10.5" customHeight="1">
      <c r="P732" s="96"/>
      <c r="Q732" s="96"/>
      <c r="R732" s="96"/>
      <c r="S732" s="96"/>
      <c r="T732" s="279" t="s">
        <v>6353</v>
      </c>
      <c r="U732" s="279" t="s">
        <v>5488</v>
      </c>
      <c r="AA732"/>
      <c r="AB732"/>
      <c r="AC732" s="272"/>
      <c r="AD732" s="40"/>
    </row>
    <row r="733" spans="16:30" ht="10.5" customHeight="1">
      <c r="P733" s="96"/>
      <c r="Q733" s="96"/>
      <c r="R733" s="96"/>
      <c r="S733" s="96"/>
      <c r="T733" s="279" t="s">
        <v>6354</v>
      </c>
      <c r="U733" s="279" t="s">
        <v>5644</v>
      </c>
      <c r="AA733"/>
      <c r="AB733"/>
      <c r="AC733" s="272"/>
      <c r="AD733" s="40"/>
    </row>
    <row r="734" spans="16:30" ht="10.5" customHeight="1">
      <c r="P734" s="96"/>
      <c r="Q734" s="96"/>
      <c r="R734" s="96"/>
      <c r="S734" s="96"/>
      <c r="T734" s="279" t="s">
        <v>6355</v>
      </c>
      <c r="U734" s="279" t="s">
        <v>5068</v>
      </c>
      <c r="AA734"/>
      <c r="AB734"/>
      <c r="AC734" s="272"/>
      <c r="AD734" s="40"/>
    </row>
    <row r="735" spans="16:30" ht="10.5" customHeight="1">
      <c r="P735" s="96"/>
      <c r="Q735" s="96"/>
      <c r="R735" s="96"/>
      <c r="S735" s="96"/>
      <c r="T735" s="279" t="s">
        <v>6356</v>
      </c>
      <c r="U735" s="279" t="s">
        <v>4942</v>
      </c>
      <c r="AA735"/>
      <c r="AB735"/>
      <c r="AC735" s="272"/>
      <c r="AD735" s="40"/>
    </row>
    <row r="736" spans="16:30" ht="10.5" customHeight="1">
      <c r="P736" s="96"/>
      <c r="Q736" s="96"/>
      <c r="R736" s="96"/>
      <c r="S736" s="96"/>
      <c r="T736" s="279" t="s">
        <v>6357</v>
      </c>
      <c r="U736" s="279" t="s">
        <v>5094</v>
      </c>
      <c r="AA736"/>
      <c r="AB736"/>
      <c r="AC736" s="272"/>
      <c r="AD736" s="40"/>
    </row>
    <row r="737" spans="16:30" ht="10.5" customHeight="1">
      <c r="P737" s="96"/>
      <c r="Q737" s="96"/>
      <c r="R737" s="96"/>
      <c r="S737" s="96"/>
      <c r="T737" s="279" t="s">
        <v>6358</v>
      </c>
      <c r="U737" s="279" t="s">
        <v>5021</v>
      </c>
      <c r="AA737"/>
      <c r="AB737"/>
      <c r="AC737" s="272"/>
      <c r="AD737" s="40"/>
    </row>
    <row r="738" spans="16:30" ht="10.5" customHeight="1">
      <c r="P738" s="96"/>
      <c r="Q738" s="96"/>
      <c r="R738" s="96"/>
      <c r="S738" s="96"/>
      <c r="T738" s="279" t="s">
        <v>168</v>
      </c>
      <c r="U738" s="279" t="s">
        <v>84</v>
      </c>
      <c r="AA738"/>
      <c r="AB738"/>
      <c r="AC738" s="272"/>
      <c r="AD738" s="40"/>
    </row>
    <row r="739" spans="16:30" ht="10.5" customHeight="1">
      <c r="P739" s="96"/>
      <c r="Q739" s="96"/>
      <c r="R739" s="96"/>
      <c r="S739" s="96"/>
      <c r="T739" s="279" t="s">
        <v>6359</v>
      </c>
      <c r="U739" s="279" t="s">
        <v>5515</v>
      </c>
      <c r="AA739"/>
      <c r="AB739"/>
      <c r="AC739" s="272"/>
      <c r="AD739" s="40"/>
    </row>
    <row r="740" spans="16:30" ht="10.5" customHeight="1">
      <c r="P740" s="96"/>
      <c r="Q740" s="96"/>
      <c r="R740" s="96"/>
      <c r="S740" s="96"/>
      <c r="T740" s="279" t="s">
        <v>6360</v>
      </c>
      <c r="U740" s="279" t="s">
        <v>104</v>
      </c>
      <c r="AA740"/>
      <c r="AB740"/>
      <c r="AC740" s="272"/>
      <c r="AD740" s="40"/>
    </row>
    <row r="741" spans="16:30" ht="10.5" customHeight="1">
      <c r="P741" s="96"/>
      <c r="Q741" s="96"/>
      <c r="R741" s="96"/>
      <c r="S741" s="96"/>
      <c r="T741" s="279" t="s">
        <v>6361</v>
      </c>
      <c r="U741" s="279" t="s">
        <v>5159</v>
      </c>
      <c r="AA741"/>
      <c r="AB741"/>
      <c r="AC741" s="272"/>
      <c r="AD741" s="40"/>
    </row>
    <row r="742" spans="16:30" ht="10.5" customHeight="1">
      <c r="P742" s="96"/>
      <c r="Q742" s="96"/>
      <c r="R742" s="96"/>
      <c r="S742" s="96"/>
      <c r="T742" s="279" t="s">
        <v>6362</v>
      </c>
      <c r="U742" s="279" t="s">
        <v>148</v>
      </c>
      <c r="AA742"/>
      <c r="AB742"/>
      <c r="AC742" s="272"/>
      <c r="AD742" s="40"/>
    </row>
    <row r="743" spans="16:30" ht="10.5" customHeight="1">
      <c r="P743" s="96"/>
      <c r="Q743" s="96"/>
      <c r="R743" s="96"/>
      <c r="S743" s="96"/>
      <c r="T743" s="279" t="s">
        <v>6363</v>
      </c>
      <c r="U743" s="279" t="s">
        <v>126</v>
      </c>
      <c r="AA743"/>
      <c r="AB743"/>
      <c r="AC743" s="272"/>
      <c r="AD743" s="40"/>
    </row>
    <row r="744" spans="16:30" ht="10.5" customHeight="1">
      <c r="P744" s="96"/>
      <c r="Q744" s="96"/>
      <c r="R744" s="96"/>
      <c r="S744" s="96"/>
      <c r="T744" s="279" t="s">
        <v>6364</v>
      </c>
      <c r="U744" s="279" t="s">
        <v>5177</v>
      </c>
      <c r="AA744"/>
      <c r="AB744"/>
      <c r="AC744" s="272"/>
      <c r="AD744" s="40"/>
    </row>
    <row r="745" spans="16:30" ht="10.5" customHeight="1">
      <c r="P745" s="96"/>
      <c r="Q745" s="96"/>
      <c r="R745" s="96"/>
      <c r="S745" s="96"/>
      <c r="T745" s="279" t="s">
        <v>6365</v>
      </c>
      <c r="U745" s="279" t="s">
        <v>5120</v>
      </c>
      <c r="AA745"/>
      <c r="AB745"/>
      <c r="AC745" s="272"/>
      <c r="AD745" s="40"/>
    </row>
    <row r="746" spans="16:30" ht="10.5" customHeight="1">
      <c r="P746" s="96"/>
      <c r="Q746" s="96"/>
      <c r="R746" s="96"/>
      <c r="S746" s="96"/>
      <c r="T746" s="279" t="s">
        <v>2142</v>
      </c>
      <c r="U746" s="279" t="s">
        <v>142</v>
      </c>
      <c r="AA746"/>
      <c r="AB746"/>
      <c r="AC746" s="272"/>
      <c r="AD746" s="40"/>
    </row>
    <row r="747" spans="16:30" ht="10.5" customHeight="1">
      <c r="P747" s="96"/>
      <c r="Q747" s="96"/>
      <c r="R747" s="96"/>
      <c r="S747" s="96"/>
      <c r="T747" s="279" t="s">
        <v>6366</v>
      </c>
      <c r="U747" s="279" t="s">
        <v>5230</v>
      </c>
      <c r="AA747"/>
      <c r="AB747"/>
      <c r="AC747" s="272"/>
      <c r="AD747" s="40"/>
    </row>
    <row r="748" spans="16:30" ht="10.5" customHeight="1">
      <c r="P748" s="96"/>
      <c r="Q748" s="96"/>
      <c r="R748" s="96"/>
      <c r="S748" s="96"/>
      <c r="T748" s="279" t="s">
        <v>169</v>
      </c>
      <c r="U748" s="279" t="s">
        <v>148</v>
      </c>
      <c r="AA748"/>
      <c r="AB748"/>
      <c r="AC748" s="272"/>
      <c r="AD748" s="40"/>
    </row>
    <row r="749" spans="16:30" ht="10.5" customHeight="1">
      <c r="P749" s="96"/>
      <c r="Q749" s="96"/>
      <c r="R749" s="96"/>
      <c r="S749" s="96"/>
      <c r="T749" s="279" t="s">
        <v>6367</v>
      </c>
      <c r="U749" s="279" t="s">
        <v>138</v>
      </c>
      <c r="AA749"/>
      <c r="AB749"/>
      <c r="AC749" s="272"/>
      <c r="AD749" s="40"/>
    </row>
    <row r="750" spans="16:30" ht="10.5" customHeight="1">
      <c r="P750" s="96"/>
      <c r="Q750" s="96"/>
      <c r="R750" s="96"/>
      <c r="S750" s="96"/>
      <c r="T750" s="279" t="s">
        <v>2143</v>
      </c>
      <c r="U750" s="279" t="s">
        <v>140</v>
      </c>
      <c r="AA750"/>
      <c r="AB750"/>
      <c r="AC750" s="272"/>
      <c r="AD750" s="40"/>
    </row>
    <row r="751" spans="16:30" ht="10.5" customHeight="1">
      <c r="P751" s="96"/>
      <c r="Q751" s="96"/>
      <c r="R751" s="96"/>
      <c r="S751" s="96"/>
      <c r="T751" s="146" t="s">
        <v>6368</v>
      </c>
      <c r="U751" s="146" t="s">
        <v>5515</v>
      </c>
      <c r="AA751"/>
      <c r="AB751"/>
      <c r="AC751" s="40"/>
      <c r="AD751" s="40"/>
    </row>
    <row r="752" spans="16:30" ht="10.5" customHeight="1">
      <c r="P752" s="96"/>
      <c r="Q752" s="96"/>
      <c r="R752" s="96"/>
      <c r="S752" s="96"/>
      <c r="T752" s="279" t="s">
        <v>6369</v>
      </c>
      <c r="U752" s="279" t="s">
        <v>126</v>
      </c>
      <c r="AA752"/>
      <c r="AB752"/>
      <c r="AC752" s="272"/>
      <c r="AD752" s="40"/>
    </row>
    <row r="753" spans="16:30" ht="10.5" customHeight="1">
      <c r="P753" s="96"/>
      <c r="Q753" s="96"/>
      <c r="R753" s="96"/>
      <c r="S753" s="96"/>
      <c r="T753" s="279" t="s">
        <v>6370</v>
      </c>
      <c r="U753" s="279" t="s">
        <v>5568</v>
      </c>
      <c r="AA753"/>
      <c r="AB753"/>
      <c r="AC753" s="272"/>
      <c r="AD753" s="40"/>
    </row>
    <row r="754" spans="16:30" ht="10.5" customHeight="1">
      <c r="P754" s="96"/>
      <c r="Q754" s="96"/>
      <c r="R754" s="96"/>
      <c r="S754" s="96"/>
      <c r="T754" s="279" t="s">
        <v>6371</v>
      </c>
      <c r="U754" s="279" t="s">
        <v>4961</v>
      </c>
      <c r="AA754"/>
      <c r="AB754"/>
      <c r="AC754" s="272"/>
      <c r="AD754" s="40"/>
    </row>
    <row r="755" spans="16:30" ht="10.5" customHeight="1">
      <c r="P755" s="96"/>
      <c r="Q755" s="96"/>
      <c r="R755" s="96"/>
      <c r="S755" s="96"/>
      <c r="T755" s="146" t="s">
        <v>2144</v>
      </c>
      <c r="U755" s="146" t="s">
        <v>5120</v>
      </c>
      <c r="AA755"/>
      <c r="AB755"/>
      <c r="AC755" s="40"/>
      <c r="AD755" s="40"/>
    </row>
    <row r="756" spans="16:30" ht="10.5" customHeight="1">
      <c r="P756" s="96"/>
      <c r="Q756" s="96"/>
      <c r="R756" s="96"/>
      <c r="S756" s="96"/>
      <c r="T756" s="279" t="s">
        <v>6372</v>
      </c>
      <c r="U756" s="279" t="s">
        <v>4992</v>
      </c>
      <c r="AA756"/>
      <c r="AB756"/>
      <c r="AC756" s="272"/>
      <c r="AD756" s="40"/>
    </row>
    <row r="757" spans="16:30" ht="10.5" customHeight="1">
      <c r="P757" s="96"/>
      <c r="Q757" s="96"/>
      <c r="R757" s="96"/>
      <c r="S757" s="96"/>
      <c r="T757" s="279" t="s">
        <v>170</v>
      </c>
      <c r="U757" s="279" t="s">
        <v>109</v>
      </c>
      <c r="AA757"/>
      <c r="AB757"/>
      <c r="AC757" s="272"/>
      <c r="AD757" s="40"/>
    </row>
    <row r="758" spans="16:30" ht="10.5" customHeight="1">
      <c r="P758" s="96"/>
      <c r="Q758" s="96"/>
      <c r="R758" s="96"/>
      <c r="S758" s="96"/>
      <c r="T758" s="279" t="s">
        <v>6373</v>
      </c>
      <c r="U758" s="279" t="s">
        <v>5258</v>
      </c>
      <c r="AA758"/>
      <c r="AB758"/>
      <c r="AC758" s="272"/>
      <c r="AD758" s="40"/>
    </row>
    <row r="759" spans="16:30" ht="10.5" customHeight="1">
      <c r="P759" s="96"/>
      <c r="Q759" s="96"/>
      <c r="R759" s="96"/>
      <c r="S759" s="96"/>
      <c r="T759" s="279" t="s">
        <v>6374</v>
      </c>
      <c r="U759" s="279" t="s">
        <v>5073</v>
      </c>
      <c r="AA759"/>
      <c r="AB759"/>
      <c r="AC759" s="272"/>
      <c r="AD759" s="40"/>
    </row>
    <row r="760" spans="16:30" ht="10.5" customHeight="1">
      <c r="P760" s="96"/>
      <c r="Q760" s="96"/>
      <c r="R760" s="96"/>
      <c r="S760" s="96"/>
      <c r="T760" s="279" t="s">
        <v>6375</v>
      </c>
      <c r="U760" s="279" t="s">
        <v>5028</v>
      </c>
      <c r="AA760"/>
      <c r="AB760"/>
      <c r="AC760" s="272"/>
      <c r="AD760" s="40"/>
    </row>
    <row r="761" spans="16:30" ht="10.5" customHeight="1">
      <c r="P761" s="96"/>
      <c r="Q761" s="96"/>
      <c r="R761" s="96"/>
      <c r="S761" s="96"/>
      <c r="T761" s="279" t="s">
        <v>6376</v>
      </c>
      <c r="U761" s="279" t="s">
        <v>5150</v>
      </c>
      <c r="AA761"/>
      <c r="AB761"/>
      <c r="AC761" s="272"/>
      <c r="AD761" s="40"/>
    </row>
    <row r="762" spans="16:30" ht="10.5" customHeight="1">
      <c r="P762" s="96"/>
      <c r="Q762" s="96"/>
      <c r="R762" s="96"/>
      <c r="S762" s="96"/>
      <c r="T762" s="279" t="s">
        <v>6377</v>
      </c>
      <c r="U762" s="279" t="s">
        <v>112</v>
      </c>
      <c r="AA762"/>
      <c r="AB762"/>
      <c r="AC762" s="272"/>
      <c r="AD762" s="40"/>
    </row>
    <row r="763" spans="16:30" ht="10.5" customHeight="1">
      <c r="P763" s="96"/>
      <c r="Q763" s="96"/>
      <c r="R763" s="96"/>
      <c r="S763" s="96"/>
      <c r="T763" s="279" t="s">
        <v>6378</v>
      </c>
      <c r="U763" s="279" t="s">
        <v>5401</v>
      </c>
      <c r="AA763"/>
      <c r="AB763"/>
      <c r="AC763" s="272"/>
      <c r="AD763" s="40"/>
    </row>
    <row r="764" spans="16:30" ht="10.5" customHeight="1">
      <c r="P764" s="96"/>
      <c r="Q764" s="96"/>
      <c r="R764" s="96"/>
      <c r="S764" s="96"/>
      <c r="T764" s="279" t="s">
        <v>2145</v>
      </c>
      <c r="U764" s="279" t="s">
        <v>157</v>
      </c>
      <c r="AA764"/>
      <c r="AB764"/>
      <c r="AC764" s="272"/>
      <c r="AD764" s="40"/>
    </row>
    <row r="765" spans="16:30" ht="10.5" customHeight="1">
      <c r="P765" s="96"/>
      <c r="Q765" s="96"/>
      <c r="R765" s="96"/>
      <c r="S765" s="96"/>
      <c r="T765" s="279" t="s">
        <v>2146</v>
      </c>
      <c r="U765" s="279" t="s">
        <v>5361</v>
      </c>
      <c r="AA765"/>
      <c r="AB765"/>
      <c r="AC765" s="272"/>
      <c r="AD765" s="40"/>
    </row>
    <row r="766" spans="16:30" ht="10.5" customHeight="1">
      <c r="P766" s="96"/>
      <c r="Q766" s="96"/>
      <c r="R766" s="96"/>
      <c r="S766" s="96"/>
      <c r="T766" s="279" t="s">
        <v>6379</v>
      </c>
      <c r="U766" s="279" t="s">
        <v>5653</v>
      </c>
      <c r="AA766"/>
      <c r="AB766"/>
      <c r="AC766" s="272"/>
      <c r="AD766" s="40"/>
    </row>
    <row r="767" spans="16:30" ht="10.5" customHeight="1">
      <c r="P767" s="96"/>
      <c r="Q767" s="96"/>
      <c r="R767" s="96"/>
      <c r="S767" s="96"/>
      <c r="T767" s="279" t="s">
        <v>2147</v>
      </c>
      <c r="U767" s="279" t="s">
        <v>5644</v>
      </c>
      <c r="AA767"/>
      <c r="AB767"/>
      <c r="AC767" s="272"/>
      <c r="AD767" s="40"/>
    </row>
    <row r="768" spans="16:30" ht="10.5" customHeight="1">
      <c r="P768" s="96"/>
      <c r="Q768" s="96"/>
      <c r="R768" s="96"/>
      <c r="S768" s="96"/>
      <c r="T768" s="279" t="s">
        <v>6380</v>
      </c>
      <c r="U768" s="279" t="s">
        <v>5164</v>
      </c>
      <c r="AA768"/>
      <c r="AB768"/>
      <c r="AC768" s="272"/>
      <c r="AD768" s="40"/>
    </row>
    <row r="769" spans="16:30" ht="10.5" customHeight="1">
      <c r="P769" s="96"/>
      <c r="Q769" s="96"/>
      <c r="R769" s="96"/>
      <c r="S769" s="96"/>
      <c r="T769" s="146" t="s">
        <v>6381</v>
      </c>
      <c r="U769" s="146" t="s">
        <v>5264</v>
      </c>
      <c r="AA769"/>
      <c r="AB769"/>
      <c r="AC769" s="40"/>
      <c r="AD769" s="40"/>
    </row>
    <row r="770" spans="16:30" ht="10.5" customHeight="1">
      <c r="P770" s="96"/>
      <c r="Q770" s="96"/>
      <c r="R770" s="96"/>
      <c r="S770" s="96"/>
      <c r="T770" s="279" t="s">
        <v>6382</v>
      </c>
      <c r="U770" s="279" t="s">
        <v>97</v>
      </c>
      <c r="AA770"/>
      <c r="AB770"/>
      <c r="AC770" s="272"/>
      <c r="AD770" s="40"/>
    </row>
    <row r="771" spans="16:30" ht="13.5">
      <c r="P771" s="96"/>
      <c r="Q771" s="96"/>
      <c r="R771" s="96"/>
      <c r="S771" s="96"/>
      <c r="T771" s="279" t="s">
        <v>2148</v>
      </c>
      <c r="U771" s="146" t="s">
        <v>4961</v>
      </c>
      <c r="AA771"/>
      <c r="AB771"/>
      <c r="AC771" s="272"/>
      <c r="AD771" s="40"/>
    </row>
    <row r="772" spans="16:30" ht="13.5">
      <c r="P772" s="96"/>
      <c r="Q772" s="96"/>
      <c r="R772" s="96"/>
      <c r="S772" s="96"/>
      <c r="T772" s="146" t="s">
        <v>6383</v>
      </c>
      <c r="U772" s="146" t="s">
        <v>5581</v>
      </c>
      <c r="AA772"/>
      <c r="AB772"/>
      <c r="AC772" s="40"/>
      <c r="AD772" s="40"/>
    </row>
    <row r="773" spans="16:30" ht="13.5">
      <c r="P773" s="96"/>
      <c r="Q773" s="96"/>
      <c r="R773" s="96"/>
      <c r="S773" s="96"/>
      <c r="T773" s="146" t="s">
        <v>6384</v>
      </c>
      <c r="U773" s="146" t="s">
        <v>5624</v>
      </c>
      <c r="AA773"/>
      <c r="AB773"/>
      <c r="AC773" s="40"/>
      <c r="AD773" s="40"/>
    </row>
    <row r="774" spans="16:30" ht="13.5">
      <c r="P774" s="96"/>
      <c r="Q774" s="96"/>
      <c r="R774" s="96"/>
      <c r="S774" s="96"/>
      <c r="T774" s="146" t="s">
        <v>6385</v>
      </c>
      <c r="U774" s="146" t="s">
        <v>5223</v>
      </c>
      <c r="AA774"/>
      <c r="AB774"/>
      <c r="AC774" s="40"/>
      <c r="AD774" s="40"/>
    </row>
    <row r="775" spans="16:30" ht="13.5">
      <c r="P775" s="96"/>
      <c r="Q775" s="96"/>
      <c r="R775" s="96"/>
      <c r="S775" s="96"/>
      <c r="T775" s="146" t="s">
        <v>5498</v>
      </c>
      <c r="U775" s="146" t="s">
        <v>4883</v>
      </c>
      <c r="AA775"/>
      <c r="AB775"/>
      <c r="AC775" s="40"/>
      <c r="AD775" s="40"/>
    </row>
    <row r="776" spans="16:30" ht="13.5">
      <c r="P776" s="96"/>
      <c r="Q776" s="96"/>
      <c r="R776" s="96"/>
      <c r="S776" s="96"/>
      <c r="T776" s="146" t="s">
        <v>6386</v>
      </c>
      <c r="U776" s="146" t="s">
        <v>5230</v>
      </c>
      <c r="AA776"/>
      <c r="AB776"/>
      <c r="AC776" s="40"/>
      <c r="AD776" s="40"/>
    </row>
    <row r="777" spans="16:30" ht="13.5">
      <c r="P777" s="96"/>
      <c r="Q777" s="96"/>
      <c r="R777" s="96"/>
      <c r="S777" s="96"/>
      <c r="T777" s="146" t="s">
        <v>171</v>
      </c>
      <c r="U777" s="146" t="s">
        <v>126</v>
      </c>
      <c r="AA777"/>
      <c r="AB777"/>
      <c r="AC777" s="40"/>
      <c r="AD777" s="40"/>
    </row>
    <row r="778" spans="16:30" ht="13.5">
      <c r="P778" s="96"/>
      <c r="Q778" s="96"/>
      <c r="R778" s="96"/>
      <c r="S778" s="96"/>
      <c r="T778" s="146" t="s">
        <v>6387</v>
      </c>
      <c r="U778" s="146" t="s">
        <v>4992</v>
      </c>
      <c r="AA778"/>
      <c r="AB778"/>
      <c r="AC778" s="40"/>
      <c r="AD778" s="40"/>
    </row>
    <row r="779" spans="16:30" ht="13.5">
      <c r="P779" s="96"/>
      <c r="Q779" s="96"/>
      <c r="R779" s="96"/>
      <c r="S779" s="96"/>
      <c r="T779" s="146" t="s">
        <v>6388</v>
      </c>
      <c r="U779" s="146" t="s">
        <v>4863</v>
      </c>
      <c r="AA779"/>
      <c r="AB779"/>
      <c r="AC779" s="40"/>
      <c r="AD779" s="40"/>
    </row>
    <row r="780" spans="16:30" ht="13.5">
      <c r="P780" s="96"/>
      <c r="Q780" s="96"/>
      <c r="R780" s="96"/>
      <c r="S780" s="96"/>
      <c r="T780" s="146" t="s">
        <v>6389</v>
      </c>
      <c r="U780" s="146" t="s">
        <v>121</v>
      </c>
      <c r="AA780"/>
      <c r="AB780"/>
      <c r="AC780" s="40"/>
      <c r="AD780" s="40"/>
    </row>
    <row r="781" spans="16:30" ht="13.5">
      <c r="P781" s="96"/>
      <c r="Q781" s="96"/>
      <c r="R781" s="96"/>
      <c r="S781" s="96"/>
      <c r="T781" s="146" t="s">
        <v>172</v>
      </c>
      <c r="U781" s="146" t="s">
        <v>126</v>
      </c>
      <c r="AA781"/>
      <c r="AB781"/>
      <c r="AC781" s="40"/>
      <c r="AD781" s="40"/>
    </row>
    <row r="782" spans="16:30" ht="13.5">
      <c r="P782" s="96"/>
      <c r="Q782" s="96"/>
      <c r="R782" s="96"/>
      <c r="S782" s="96"/>
      <c r="T782" s="146" t="s">
        <v>2149</v>
      </c>
      <c r="U782" s="146" t="s">
        <v>159</v>
      </c>
      <c r="AA782"/>
      <c r="AB782"/>
      <c r="AC782" s="40"/>
      <c r="AD782" s="40"/>
    </row>
    <row r="783" spans="16:30" ht="13.5">
      <c r="P783" s="96"/>
      <c r="Q783" s="96"/>
      <c r="R783" s="96"/>
      <c r="S783" s="96"/>
      <c r="T783" s="146" t="s">
        <v>6390</v>
      </c>
      <c r="U783" s="146" t="s">
        <v>5033</v>
      </c>
      <c r="AA783"/>
      <c r="AB783"/>
      <c r="AC783" s="40"/>
      <c r="AD783" s="40"/>
    </row>
    <row r="784" spans="16:30" ht="13.5">
      <c r="P784" s="96"/>
      <c r="Q784" s="96"/>
      <c r="R784" s="96"/>
      <c r="S784" s="96"/>
      <c r="T784" s="146" t="s">
        <v>6391</v>
      </c>
      <c r="U784" s="146" t="s">
        <v>128</v>
      </c>
      <c r="AA784"/>
      <c r="AB784"/>
      <c r="AC784" s="40"/>
      <c r="AD784" s="40"/>
    </row>
    <row r="785" spans="16:30" ht="13.5">
      <c r="P785" s="96"/>
      <c r="Q785" s="96"/>
      <c r="R785" s="96"/>
      <c r="S785" s="96"/>
      <c r="T785" s="146" t="s">
        <v>6392</v>
      </c>
      <c r="U785" s="146" t="s">
        <v>5401</v>
      </c>
      <c r="AA785"/>
      <c r="AB785"/>
      <c r="AC785" s="40"/>
      <c r="AD785" s="40"/>
    </row>
    <row r="786" spans="16:30" ht="13.5">
      <c r="P786" s="96"/>
      <c r="Q786" s="96"/>
      <c r="R786" s="96"/>
      <c r="S786" s="96"/>
      <c r="T786" s="146" t="s">
        <v>6393</v>
      </c>
      <c r="U786" s="146" t="s">
        <v>5538</v>
      </c>
      <c r="AA786"/>
      <c r="AB786"/>
      <c r="AC786" s="40"/>
      <c r="AD786" s="40"/>
    </row>
    <row r="787" spans="16:30" ht="13.5">
      <c r="P787" s="96"/>
      <c r="Q787" s="96"/>
      <c r="R787" s="96"/>
      <c r="S787" s="96"/>
      <c r="T787" s="146" t="s">
        <v>6394</v>
      </c>
      <c r="U787" s="146" t="s">
        <v>5028</v>
      </c>
      <c r="AA787"/>
      <c r="AB787"/>
      <c r="AC787" s="40"/>
      <c r="AD787" s="40"/>
    </row>
    <row r="788" spans="16:30" ht="13.5">
      <c r="P788" s="96"/>
      <c r="Q788" s="96"/>
      <c r="R788" s="96"/>
      <c r="S788" s="96"/>
      <c r="T788" s="146" t="s">
        <v>6395</v>
      </c>
      <c r="U788" s="146" t="s">
        <v>5230</v>
      </c>
      <c r="AA788"/>
      <c r="AB788"/>
      <c r="AC788" s="40"/>
      <c r="AD788" s="40"/>
    </row>
    <row r="789" spans="16:30" ht="13.5">
      <c r="P789" s="96"/>
      <c r="Q789" s="96"/>
      <c r="R789" s="96"/>
      <c r="S789" s="96"/>
      <c r="T789" s="146" t="s">
        <v>6396</v>
      </c>
      <c r="U789" s="146" t="s">
        <v>5177</v>
      </c>
      <c r="AA789"/>
      <c r="AB789"/>
      <c r="AC789" s="40"/>
      <c r="AD789" s="40"/>
    </row>
    <row r="790" spans="16:30" ht="13.5">
      <c r="P790" s="96"/>
      <c r="Q790" s="96"/>
      <c r="R790" s="96"/>
      <c r="S790" s="96"/>
      <c r="T790" s="146" t="s">
        <v>6397</v>
      </c>
      <c r="U790" s="146" t="s">
        <v>5073</v>
      </c>
      <c r="AA790"/>
      <c r="AB790"/>
      <c r="AC790" s="40"/>
      <c r="AD790" s="40"/>
    </row>
    <row r="791" spans="16:30" ht="13.5">
      <c r="P791" s="96"/>
      <c r="Q791" s="96"/>
      <c r="R791" s="96"/>
      <c r="S791" s="96"/>
      <c r="T791" s="146" t="s">
        <v>6398</v>
      </c>
      <c r="U791" s="146" t="s">
        <v>4901</v>
      </c>
      <c r="AA791"/>
      <c r="AB791"/>
      <c r="AC791" s="40"/>
      <c r="AD791" s="40"/>
    </row>
    <row r="792" spans="16:30" ht="13.5">
      <c r="P792" s="96"/>
      <c r="Q792" s="96"/>
      <c r="R792" s="96"/>
      <c r="S792" s="96"/>
      <c r="T792" s="146" t="s">
        <v>6399</v>
      </c>
      <c r="U792" s="146" t="s">
        <v>119</v>
      </c>
      <c r="AA792"/>
      <c r="AB792"/>
      <c r="AC792" s="40"/>
      <c r="AD792" s="40"/>
    </row>
    <row r="793" spans="16:30" ht="13.5">
      <c r="P793" s="96"/>
      <c r="Q793" s="96"/>
      <c r="R793" s="96"/>
      <c r="S793" s="96"/>
      <c r="T793" s="146" t="s">
        <v>6400</v>
      </c>
      <c r="U793" s="146" t="s">
        <v>5498</v>
      </c>
      <c r="AA793"/>
      <c r="AB793"/>
      <c r="AC793" s="40"/>
      <c r="AD793" s="40"/>
    </row>
    <row r="794" spans="16:30" ht="13.5">
      <c r="P794" s="96"/>
      <c r="Q794" s="96"/>
      <c r="R794" s="96"/>
      <c r="S794" s="96"/>
      <c r="T794" s="146" t="s">
        <v>6401</v>
      </c>
      <c r="U794" s="146" t="s">
        <v>117</v>
      </c>
      <c r="AA794"/>
      <c r="AB794"/>
      <c r="AC794" s="40"/>
      <c r="AD794" s="40"/>
    </row>
    <row r="795" spans="16:30" ht="13.5">
      <c r="P795" s="96"/>
      <c r="Q795" s="96"/>
      <c r="R795" s="96"/>
      <c r="S795" s="96"/>
      <c r="T795" s="146" t="s">
        <v>6402</v>
      </c>
      <c r="U795" s="146" t="s">
        <v>121</v>
      </c>
      <c r="AA795"/>
      <c r="AB795"/>
      <c r="AC795" s="40"/>
      <c r="AD795" s="40"/>
    </row>
    <row r="796" spans="16:30" ht="13.5">
      <c r="P796" s="96"/>
      <c r="Q796" s="96"/>
      <c r="R796" s="96"/>
      <c r="S796" s="96"/>
      <c r="T796" s="146"/>
      <c r="U796" s="146"/>
      <c r="AA796"/>
      <c r="AB796"/>
      <c r="AC796" s="40"/>
      <c r="AD796" s="40"/>
    </row>
    <row r="797" spans="16:30" ht="13.5">
      <c r="P797" s="96"/>
      <c r="Q797" s="96"/>
      <c r="R797" s="96"/>
      <c r="S797" s="96"/>
      <c r="T797" s="146"/>
      <c r="U797" s="146"/>
      <c r="AA797"/>
      <c r="AB797"/>
      <c r="AC797" s="40"/>
      <c r="AD797" s="40"/>
    </row>
    <row r="798" spans="16:30" ht="13.5">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A152:B155"/>
    <mergeCell ref="D152:D154"/>
    <mergeCell ref="H154:H155"/>
    <mergeCell ref="C163:C165"/>
    <mergeCell ref="J137:K137"/>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S126:T126"/>
    <mergeCell ref="Q127:R127"/>
    <mergeCell ref="S127:T127"/>
    <mergeCell ref="Q129:R129"/>
    <mergeCell ref="Q130:R130"/>
    <mergeCell ref="Q119:R119"/>
    <mergeCell ref="Q93:R93"/>
    <mergeCell ref="Q94:R94"/>
    <mergeCell ref="Q95:R95"/>
    <mergeCell ref="Q96:R96"/>
    <mergeCell ref="Q97:R97"/>
    <mergeCell ref="Q98:R98"/>
    <mergeCell ref="Q99:R99"/>
    <mergeCell ref="Q106:R106"/>
    <mergeCell ref="Q114:R114"/>
    <mergeCell ref="Q115:R115"/>
    <mergeCell ref="Q118:R118"/>
    <mergeCell ref="Q92:R92"/>
    <mergeCell ref="Q78:R78"/>
    <mergeCell ref="Q79:R79"/>
    <mergeCell ref="Q80:R80"/>
    <mergeCell ref="Q82:R82"/>
    <mergeCell ref="Q83:R83"/>
    <mergeCell ref="Q84:R84"/>
    <mergeCell ref="Q85:R85"/>
    <mergeCell ref="Q86:R86"/>
    <mergeCell ref="Q87:R87"/>
    <mergeCell ref="Q89:R89"/>
    <mergeCell ref="Q90:R90"/>
    <mergeCell ref="Q77:R77"/>
    <mergeCell ref="Q66:R66"/>
    <mergeCell ref="Q67:R67"/>
    <mergeCell ref="Q68:R68"/>
    <mergeCell ref="Q69:R69"/>
    <mergeCell ref="Q70:R70"/>
    <mergeCell ref="Q71:R71"/>
    <mergeCell ref="Q72:R72"/>
    <mergeCell ref="Q73:R73"/>
    <mergeCell ref="Q74:R74"/>
    <mergeCell ref="Q75:R75"/>
    <mergeCell ref="Q76:R76"/>
    <mergeCell ref="Q65:R65"/>
    <mergeCell ref="Q29:R29"/>
    <mergeCell ref="Q30:R30"/>
    <mergeCell ref="Q31:R31"/>
    <mergeCell ref="Q57:R57"/>
    <mergeCell ref="Q58:R58"/>
    <mergeCell ref="Q59:R59"/>
    <mergeCell ref="Q60:R60"/>
    <mergeCell ref="Q61:R61"/>
    <mergeCell ref="Q62:R62"/>
    <mergeCell ref="Q63:R63"/>
    <mergeCell ref="Q64:R64"/>
    <mergeCell ref="Q28:R28"/>
    <mergeCell ref="A2:R2"/>
    <mergeCell ref="Q24:R24"/>
    <mergeCell ref="Q25:R25"/>
    <mergeCell ref="Q26:R26"/>
    <mergeCell ref="Q27:R2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140625" defaultRowHeight="12.75"/>
  <cols>
    <col min="1" max="1" width="5.140625" style="12" customWidth="1"/>
    <col min="2" max="2" width="2.5703125" style="12" customWidth="1"/>
    <col min="3" max="3" width="2.140625" style="12" customWidth="1"/>
    <col min="4" max="10" width="8.85546875" style="12" customWidth="1"/>
    <col min="11" max="11" width="7.5703125" style="12" customWidth="1"/>
    <col min="12" max="15" width="9.140625" style="12" customWidth="1"/>
    <col min="16" max="16" width="8.85546875" style="12" customWidth="1"/>
    <col min="17" max="17" width="9.140625" style="12" customWidth="1"/>
    <col min="18" max="16384" width="9.140625" style="12"/>
  </cols>
  <sheetData>
    <row r="1" spans="1:19" ht="14.1" customHeight="1">
      <c r="A1" s="3677" t="e">
        <f>CONCATENATE("PART SEVEN - THRESHOLD CRITERIA","  -  ",#REF!," ",#REF!,", ",#REF!,", ",#REF!," County")</f>
        <v>#REF!</v>
      </c>
      <c r="B1" s="3678"/>
      <c r="C1" s="3678"/>
      <c r="D1" s="3678"/>
      <c r="E1" s="3678"/>
      <c r="F1" s="3678"/>
      <c r="G1" s="3678"/>
      <c r="H1" s="3678"/>
      <c r="I1" s="3678"/>
      <c r="J1" s="3678"/>
      <c r="K1" s="3678"/>
      <c r="L1" s="3678"/>
      <c r="M1" s="3678"/>
      <c r="N1" s="3678"/>
      <c r="O1" s="3678"/>
      <c r="P1" s="3678"/>
      <c r="Q1" s="3678"/>
      <c r="R1" s="1228"/>
      <c r="S1" s="1228"/>
    </row>
    <row r="2" spans="1:19" customFormat="1" ht="3" customHeight="1">
      <c r="R2" s="1228"/>
      <c r="S2" s="1228"/>
    </row>
    <row r="3" spans="1:19" ht="13.5" customHeight="1">
      <c r="A3" s="4455"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55"/>
      <c r="C3" s="4455"/>
      <c r="D3" s="4455"/>
      <c r="E3" s="4455"/>
      <c r="F3" s="4455"/>
      <c r="G3" s="4455"/>
      <c r="H3" s="4455"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55"/>
      <c r="J3" s="4455"/>
      <c r="K3" s="4455"/>
      <c r="L3" s="4455"/>
      <c r="M3" s="4455"/>
      <c r="N3" s="4455"/>
      <c r="O3" s="77"/>
      <c r="P3" s="4465" t="s">
        <v>1429</v>
      </c>
      <c r="Q3" s="4379" t="s">
        <v>1430</v>
      </c>
      <c r="R3" s="1228"/>
      <c r="S3" s="1228"/>
    </row>
    <row r="4" spans="1:19" ht="3" customHeight="1">
      <c r="A4" s="501"/>
      <c r="B4" s="4456"/>
      <c r="C4" s="4456"/>
      <c r="D4" s="4456"/>
      <c r="E4" s="501"/>
      <c r="F4" s="501"/>
      <c r="G4" s="501"/>
      <c r="H4" s="501"/>
      <c r="I4" s="77"/>
      <c r="J4" s="346"/>
      <c r="K4" s="501"/>
      <c r="L4" s="501"/>
      <c r="M4" s="501"/>
      <c r="N4" s="501"/>
      <c r="O4" s="77"/>
      <c r="P4" s="4466"/>
      <c r="Q4" s="4380"/>
      <c r="R4" s="1228"/>
      <c r="S4" s="1228"/>
    </row>
    <row r="5" spans="1:19">
      <c r="A5" s="77"/>
      <c r="B5" s="77"/>
      <c r="C5" s="77"/>
      <c r="D5" s="77"/>
      <c r="E5" s="4464" t="e">
        <f>#REF!</f>
        <v>#REF!</v>
      </c>
      <c r="F5" s="4464"/>
      <c r="G5" s="4464"/>
      <c r="H5" s="4464"/>
      <c r="I5" s="4464"/>
      <c r="J5" s="346"/>
      <c r="K5" s="2891"/>
      <c r="L5" s="2892" t="s">
        <v>6403</v>
      </c>
      <c r="M5" s="2893" t="e">
        <f>#REF!</f>
        <v>#REF!</v>
      </c>
      <c r="N5" s="2894"/>
      <c r="O5" s="2895"/>
      <c r="P5" s="4467"/>
      <c r="Q5" s="4381"/>
      <c r="R5" s="1072"/>
      <c r="S5" s="1072"/>
    </row>
    <row r="6" spans="1:19" ht="17.25" customHeight="1">
      <c r="A6" s="61" t="s">
        <v>6404</v>
      </c>
      <c r="B6" s="77"/>
      <c r="C6" s="77"/>
      <c r="D6" s="77"/>
      <c r="E6" s="77"/>
      <c r="F6" s="77"/>
      <c r="G6" s="77"/>
      <c r="H6" s="77"/>
      <c r="I6" s="346"/>
      <c r="J6" s="346"/>
      <c r="K6" s="4462" t="s">
        <v>6405</v>
      </c>
      <c r="L6" s="4462"/>
      <c r="M6" s="4462"/>
      <c r="N6" s="4462"/>
      <c r="O6" s="4463"/>
      <c r="P6" s="4457"/>
      <c r="Q6" s="4458"/>
      <c r="R6" s="1072"/>
      <c r="S6" s="1072"/>
    </row>
    <row r="7" spans="1:19" ht="12.6" customHeight="1">
      <c r="A7" s="62" t="s">
        <v>1433</v>
      </c>
      <c r="B7" s="77"/>
      <c r="C7" s="77"/>
      <c r="D7" s="77"/>
      <c r="E7" s="77"/>
      <c r="F7" s="77"/>
      <c r="G7" s="77"/>
      <c r="H7" s="723"/>
      <c r="I7" s="1227"/>
      <c r="J7" s="1227"/>
      <c r="K7" s="723"/>
      <c r="L7" s="723"/>
      <c r="M7" s="501"/>
      <c r="N7" s="501"/>
      <c r="O7" s="77"/>
      <c r="P7" s="77"/>
      <c r="Q7" s="77"/>
      <c r="R7" s="77"/>
      <c r="S7" s="77"/>
    </row>
    <row r="8" spans="1:19" ht="23.25" customHeight="1">
      <c r="A8" s="4459" t="s">
        <v>1434</v>
      </c>
      <c r="B8" s="4460"/>
      <c r="C8" s="4460"/>
      <c r="D8" s="4460"/>
      <c r="E8" s="4460"/>
      <c r="F8" s="4460"/>
      <c r="G8" s="4460"/>
      <c r="H8" s="4460"/>
      <c r="I8" s="4460"/>
      <c r="J8" s="4460"/>
      <c r="K8" s="4460"/>
      <c r="L8" s="4460"/>
      <c r="M8" s="4460"/>
      <c r="N8" s="4460"/>
      <c r="O8" s="4460"/>
      <c r="P8" s="4460"/>
      <c r="Q8" s="4461"/>
      <c r="R8" s="3419" t="s">
        <v>249</v>
      </c>
      <c r="S8" s="3379"/>
    </row>
    <row r="9" spans="1:19" ht="23.25" customHeight="1">
      <c r="A9" s="4438" t="s">
        <v>1435</v>
      </c>
      <c r="B9" s="4439"/>
      <c r="C9" s="4439"/>
      <c r="D9" s="4439"/>
      <c r="E9" s="4439"/>
      <c r="F9" s="4439"/>
      <c r="G9" s="4439"/>
      <c r="H9" s="4439"/>
      <c r="I9" s="4439"/>
      <c r="J9" s="4439"/>
      <c r="K9" s="4439"/>
      <c r="L9" s="4439"/>
      <c r="M9" s="4439"/>
      <c r="N9" s="4439"/>
      <c r="O9" s="4439"/>
      <c r="P9" s="4439"/>
      <c r="Q9" s="4440"/>
      <c r="R9" s="3419"/>
      <c r="S9" s="3379"/>
    </row>
    <row r="10" spans="1:19" ht="23.25" customHeight="1">
      <c r="A10" s="4438" t="s">
        <v>1436</v>
      </c>
      <c r="B10" s="4439"/>
      <c r="C10" s="4439"/>
      <c r="D10" s="4439"/>
      <c r="E10" s="4439"/>
      <c r="F10" s="4439"/>
      <c r="G10" s="4439"/>
      <c r="H10" s="4439"/>
      <c r="I10" s="4439"/>
      <c r="J10" s="4439"/>
      <c r="K10" s="4439"/>
      <c r="L10" s="4439"/>
      <c r="M10" s="4439"/>
      <c r="N10" s="4439"/>
      <c r="O10" s="4439"/>
      <c r="P10" s="4439"/>
      <c r="Q10" s="4440"/>
      <c r="R10" s="3419"/>
      <c r="S10" s="3379"/>
    </row>
    <row r="11" spans="1:19" ht="23.25" customHeight="1">
      <c r="A11" s="4438" t="s">
        <v>1437</v>
      </c>
      <c r="B11" s="4439"/>
      <c r="C11" s="4439"/>
      <c r="D11" s="4439"/>
      <c r="E11" s="4439"/>
      <c r="F11" s="4439"/>
      <c r="G11" s="4439"/>
      <c r="H11" s="4439"/>
      <c r="I11" s="4439"/>
      <c r="J11" s="4439"/>
      <c r="K11" s="4439"/>
      <c r="L11" s="4439"/>
      <c r="M11" s="4439"/>
      <c r="N11" s="4439"/>
      <c r="O11" s="4439"/>
      <c r="P11" s="4439"/>
      <c r="Q11" s="4440"/>
      <c r="R11" s="3419"/>
      <c r="S11" s="3379"/>
    </row>
    <row r="12" spans="1:19" ht="23.25" customHeight="1">
      <c r="A12" s="4438" t="s">
        <v>1438</v>
      </c>
      <c r="B12" s="4439"/>
      <c r="C12" s="4439"/>
      <c r="D12" s="4439"/>
      <c r="E12" s="4439"/>
      <c r="F12" s="4439"/>
      <c r="G12" s="4439"/>
      <c r="H12" s="4439"/>
      <c r="I12" s="4439"/>
      <c r="J12" s="4439"/>
      <c r="K12" s="4439"/>
      <c r="L12" s="4439"/>
      <c r="M12" s="4439"/>
      <c r="N12" s="4439"/>
      <c r="O12" s="4439"/>
      <c r="P12" s="4439"/>
      <c r="Q12" s="4440"/>
      <c r="R12" s="2513"/>
      <c r="S12" s="2513"/>
    </row>
    <row r="13" spans="1:19" ht="23.25" customHeight="1">
      <c r="A13" s="4438" t="s">
        <v>1439</v>
      </c>
      <c r="B13" s="4439"/>
      <c r="C13" s="4439"/>
      <c r="D13" s="4439"/>
      <c r="E13" s="4439"/>
      <c r="F13" s="4439"/>
      <c r="G13" s="4439"/>
      <c r="H13" s="4439"/>
      <c r="I13" s="4439"/>
      <c r="J13" s="4439"/>
      <c r="K13" s="4439"/>
      <c r="L13" s="4439"/>
      <c r="M13" s="4439"/>
      <c r="N13" s="4439"/>
      <c r="O13" s="4439"/>
      <c r="P13" s="4439"/>
      <c r="Q13" s="4440"/>
      <c r="R13" s="2513"/>
      <c r="S13" s="2513"/>
    </row>
    <row r="14" spans="1:19" ht="23.25" customHeight="1">
      <c r="A14" s="4438" t="s">
        <v>1440</v>
      </c>
      <c r="B14" s="4439"/>
      <c r="C14" s="4439"/>
      <c r="D14" s="4439"/>
      <c r="E14" s="4439"/>
      <c r="F14" s="4439"/>
      <c r="G14" s="4439"/>
      <c r="H14" s="4439"/>
      <c r="I14" s="4439"/>
      <c r="J14" s="4439"/>
      <c r="K14" s="4439"/>
      <c r="L14" s="4439"/>
      <c r="M14" s="4439"/>
      <c r="N14" s="4439"/>
      <c r="O14" s="4439"/>
      <c r="P14" s="4439"/>
      <c r="Q14" s="4440"/>
      <c r="R14" s="77"/>
      <c r="S14" s="77"/>
    </row>
    <row r="15" spans="1:19" ht="11.25" customHeight="1">
      <c r="A15" s="4438" t="s">
        <v>1441</v>
      </c>
      <c r="B15" s="4439"/>
      <c r="C15" s="4439"/>
      <c r="D15" s="4439"/>
      <c r="E15" s="4439"/>
      <c r="F15" s="4439"/>
      <c r="G15" s="4439"/>
      <c r="H15" s="4439"/>
      <c r="I15" s="4439"/>
      <c r="J15" s="4439"/>
      <c r="K15" s="4439"/>
      <c r="L15" s="4439"/>
      <c r="M15" s="4439"/>
      <c r="N15" s="4439"/>
      <c r="O15" s="4439"/>
      <c r="P15" s="4439"/>
      <c r="Q15" s="4440"/>
      <c r="R15" s="3419"/>
      <c r="S15" s="3379"/>
    </row>
    <row r="16" spans="1:19" ht="11.25" customHeight="1">
      <c r="A16" s="4438" t="s">
        <v>1442</v>
      </c>
      <c r="B16" s="4439"/>
      <c r="C16" s="4439"/>
      <c r="D16" s="4439"/>
      <c r="E16" s="4439"/>
      <c r="F16" s="4439"/>
      <c r="G16" s="4439"/>
      <c r="H16" s="4439"/>
      <c r="I16" s="4439"/>
      <c r="J16" s="4439"/>
      <c r="K16" s="4439"/>
      <c r="L16" s="4439"/>
      <c r="M16" s="4439"/>
      <c r="N16" s="4439"/>
      <c r="O16" s="4439"/>
      <c r="P16" s="4439"/>
      <c r="Q16" s="4440"/>
      <c r="R16" s="3419"/>
      <c r="S16" s="3379"/>
    </row>
    <row r="17" spans="1:31" ht="11.25" customHeight="1">
      <c r="A17" s="4438" t="s">
        <v>1443</v>
      </c>
      <c r="B17" s="4439"/>
      <c r="C17" s="4439"/>
      <c r="D17" s="4439"/>
      <c r="E17" s="4439"/>
      <c r="F17" s="4439"/>
      <c r="G17" s="4439"/>
      <c r="H17" s="4439"/>
      <c r="I17" s="4439"/>
      <c r="J17" s="4439"/>
      <c r="K17" s="4439"/>
      <c r="L17" s="4439"/>
      <c r="M17" s="4439"/>
      <c r="N17" s="4439"/>
      <c r="O17" s="4439"/>
      <c r="P17" s="4439"/>
      <c r="Q17" s="4440"/>
      <c r="R17" s="3419"/>
      <c r="S17" s="3379"/>
      <c r="T17" s="77"/>
      <c r="U17" s="77"/>
      <c r="V17" s="77"/>
      <c r="W17" s="77"/>
      <c r="X17" s="77"/>
      <c r="Y17" s="77"/>
      <c r="Z17" s="77"/>
      <c r="AA17" s="77"/>
      <c r="AB17" s="77"/>
      <c r="AC17" s="77"/>
      <c r="AD17" s="77"/>
      <c r="AE17" s="77"/>
    </row>
    <row r="18" spans="1:31" ht="11.25" customHeight="1">
      <c r="A18" s="4438" t="s">
        <v>1444</v>
      </c>
      <c r="B18" s="4439"/>
      <c r="C18" s="4439"/>
      <c r="D18" s="4439"/>
      <c r="E18" s="4439"/>
      <c r="F18" s="4439"/>
      <c r="G18" s="4439"/>
      <c r="H18" s="4439"/>
      <c r="I18" s="4439"/>
      <c r="J18" s="4439"/>
      <c r="K18" s="4439"/>
      <c r="L18" s="4439"/>
      <c r="M18" s="4439"/>
      <c r="N18" s="4439"/>
      <c r="O18" s="4439"/>
      <c r="P18" s="4439"/>
      <c r="Q18" s="4440"/>
      <c r="R18" s="3419"/>
      <c r="S18" s="3379"/>
      <c r="T18" s="77"/>
      <c r="U18" s="77"/>
      <c r="V18" s="77"/>
      <c r="W18" s="77"/>
      <c r="X18" s="77"/>
      <c r="Y18" s="77"/>
      <c r="Z18" s="77"/>
      <c r="AA18" s="77"/>
      <c r="AB18" s="77"/>
      <c r="AC18" s="77"/>
      <c r="AD18" s="77"/>
      <c r="AE18" s="77"/>
    </row>
    <row r="19" spans="1:31" ht="11.25" customHeight="1">
      <c r="A19" s="4438" t="s">
        <v>1445</v>
      </c>
      <c r="B19" s="4439"/>
      <c r="C19" s="4439"/>
      <c r="D19" s="4439"/>
      <c r="E19" s="4439"/>
      <c r="F19" s="4439"/>
      <c r="G19" s="4439"/>
      <c r="H19" s="4439"/>
      <c r="I19" s="4439"/>
      <c r="J19" s="4439"/>
      <c r="K19" s="4439"/>
      <c r="L19" s="4439"/>
      <c r="M19" s="4439"/>
      <c r="N19" s="4439"/>
      <c r="O19" s="4439"/>
      <c r="P19" s="4439"/>
      <c r="Q19" s="4440"/>
      <c r="R19" s="3419"/>
      <c r="S19" s="3379"/>
      <c r="T19" s="77"/>
      <c r="U19" s="77"/>
      <c r="V19" s="77"/>
      <c r="W19" s="77"/>
      <c r="X19" s="77"/>
      <c r="Y19" s="77"/>
      <c r="Z19" s="77"/>
      <c r="AA19" s="77"/>
      <c r="AB19" s="77"/>
      <c r="AC19" s="77"/>
      <c r="AD19" s="77"/>
      <c r="AE19" s="77"/>
    </row>
    <row r="20" spans="1:31" ht="11.25" customHeight="1">
      <c r="A20" s="4438" t="s">
        <v>1446</v>
      </c>
      <c r="B20" s="4439"/>
      <c r="C20" s="4439"/>
      <c r="D20" s="4439"/>
      <c r="E20" s="4439"/>
      <c r="F20" s="4439"/>
      <c r="G20" s="4439"/>
      <c r="H20" s="4439"/>
      <c r="I20" s="4439"/>
      <c r="J20" s="4439"/>
      <c r="K20" s="4439"/>
      <c r="L20" s="4439"/>
      <c r="M20" s="4439"/>
      <c r="N20" s="4439"/>
      <c r="O20" s="4439"/>
      <c r="P20" s="4439"/>
      <c r="Q20" s="4440"/>
      <c r="R20" s="3419"/>
      <c r="S20" s="3379"/>
      <c r="T20" s="77"/>
      <c r="U20" s="77"/>
      <c r="V20" s="77"/>
      <c r="W20" s="77"/>
      <c r="X20" s="77"/>
      <c r="Y20" s="77"/>
      <c r="Z20" s="77"/>
      <c r="AA20" s="77"/>
      <c r="AB20" s="77"/>
      <c r="AC20" s="77"/>
      <c r="AD20" s="77"/>
      <c r="AE20" s="77"/>
    </row>
    <row r="21" spans="1:31" ht="11.25" customHeight="1">
      <c r="A21" s="4438" t="s">
        <v>1447</v>
      </c>
      <c r="B21" s="4439"/>
      <c r="C21" s="4439"/>
      <c r="D21" s="4439"/>
      <c r="E21" s="4439"/>
      <c r="F21" s="4439"/>
      <c r="G21" s="4439"/>
      <c r="H21" s="4439"/>
      <c r="I21" s="4439"/>
      <c r="J21" s="4439"/>
      <c r="K21" s="4439"/>
      <c r="L21" s="4439"/>
      <c r="M21" s="4439"/>
      <c r="N21" s="4439"/>
      <c r="O21" s="4439"/>
      <c r="P21" s="4439"/>
      <c r="Q21" s="4440"/>
      <c r="R21" s="77"/>
      <c r="S21" s="77"/>
      <c r="T21" s="77"/>
      <c r="U21" s="77"/>
      <c r="V21" s="77"/>
      <c r="W21" s="77"/>
      <c r="X21" s="77"/>
      <c r="Y21" s="77"/>
      <c r="Z21" s="77"/>
      <c r="AA21" s="77"/>
      <c r="AB21" s="77"/>
      <c r="AC21" s="77"/>
      <c r="AD21" s="77"/>
      <c r="AE21" s="77"/>
    </row>
    <row r="22" spans="1:31" ht="11.25" customHeight="1">
      <c r="A22" s="4438" t="s">
        <v>6406</v>
      </c>
      <c r="B22" s="4439"/>
      <c r="C22" s="4439"/>
      <c r="D22" s="4439"/>
      <c r="E22" s="4439"/>
      <c r="F22" s="4439"/>
      <c r="G22" s="4439"/>
      <c r="H22" s="4439"/>
      <c r="I22" s="4439"/>
      <c r="J22" s="4439"/>
      <c r="K22" s="4439"/>
      <c r="L22" s="4439"/>
      <c r="M22" s="4439"/>
      <c r="N22" s="4439"/>
      <c r="O22" s="4439"/>
      <c r="P22" s="4439"/>
      <c r="Q22" s="4440"/>
      <c r="R22" s="3419"/>
      <c r="S22" s="3379"/>
      <c r="T22" s="77"/>
      <c r="U22" s="77"/>
      <c r="V22" s="77"/>
      <c r="W22" s="77"/>
      <c r="X22" s="77"/>
      <c r="Y22" s="77"/>
      <c r="Z22" s="77"/>
      <c r="AA22" s="77"/>
      <c r="AB22" s="77"/>
      <c r="AC22" s="77"/>
      <c r="AD22" s="77"/>
      <c r="AE22" s="77"/>
    </row>
    <row r="23" spans="1:31" ht="11.25" customHeight="1">
      <c r="A23" s="4438" t="s">
        <v>6407</v>
      </c>
      <c r="B23" s="4439"/>
      <c r="C23" s="4439"/>
      <c r="D23" s="4439"/>
      <c r="E23" s="4439"/>
      <c r="F23" s="4439"/>
      <c r="G23" s="4439"/>
      <c r="H23" s="4439"/>
      <c r="I23" s="4439"/>
      <c r="J23" s="4439"/>
      <c r="K23" s="4439"/>
      <c r="L23" s="4439"/>
      <c r="M23" s="4439"/>
      <c r="N23" s="4439"/>
      <c r="O23" s="4439"/>
      <c r="P23" s="4439"/>
      <c r="Q23" s="4440"/>
      <c r="R23" s="3419"/>
      <c r="S23" s="3379"/>
      <c r="T23" s="77"/>
      <c r="U23" s="77"/>
      <c r="V23" s="77"/>
      <c r="W23" s="77"/>
      <c r="X23" s="77"/>
      <c r="Y23" s="77"/>
      <c r="Z23" s="77"/>
      <c r="AA23" s="77"/>
      <c r="AB23" s="77"/>
      <c r="AC23" s="77"/>
      <c r="AD23" s="77"/>
      <c r="AE23" s="77"/>
    </row>
    <row r="24" spans="1:31" ht="11.25" customHeight="1">
      <c r="A24" s="4438" t="s">
        <v>6408</v>
      </c>
      <c r="B24" s="4439"/>
      <c r="C24" s="4439"/>
      <c r="D24" s="4439"/>
      <c r="E24" s="4439"/>
      <c r="F24" s="4439"/>
      <c r="G24" s="4439"/>
      <c r="H24" s="4439"/>
      <c r="I24" s="4439"/>
      <c r="J24" s="4439"/>
      <c r="K24" s="4439"/>
      <c r="L24" s="4439"/>
      <c r="M24" s="4439"/>
      <c r="N24" s="4439"/>
      <c r="O24" s="4439"/>
      <c r="P24" s="4439"/>
      <c r="Q24" s="4440"/>
      <c r="R24" s="3419"/>
      <c r="S24" s="3379"/>
      <c r="T24" s="77"/>
      <c r="U24" s="77"/>
      <c r="V24" s="77"/>
      <c r="W24" s="77"/>
      <c r="X24" s="77"/>
      <c r="Y24" s="77"/>
      <c r="Z24" s="77"/>
      <c r="AA24" s="77"/>
      <c r="AB24" s="77"/>
      <c r="AC24" s="77"/>
      <c r="AD24" s="77"/>
      <c r="AE24" s="77"/>
    </row>
    <row r="25" spans="1:31" ht="11.25" customHeight="1">
      <c r="A25" s="4468" t="s">
        <v>6409</v>
      </c>
      <c r="B25" s="4469"/>
      <c r="C25" s="4469"/>
      <c r="D25" s="4469"/>
      <c r="E25" s="4469"/>
      <c r="F25" s="4469"/>
      <c r="G25" s="4469"/>
      <c r="H25" s="4469"/>
      <c r="I25" s="4469"/>
      <c r="J25" s="4469"/>
      <c r="K25" s="4469"/>
      <c r="L25" s="4469"/>
      <c r="M25" s="4469"/>
      <c r="N25" s="4469"/>
      <c r="O25" s="4469"/>
      <c r="P25" s="4469"/>
      <c r="Q25" s="4470"/>
      <c r="R25" s="3419"/>
      <c r="S25" s="3379"/>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25</v>
      </c>
      <c r="B27" s="64" t="s">
        <v>1449</v>
      </c>
      <c r="C27" s="65"/>
      <c r="D27" s="38"/>
      <c r="E27" s="38"/>
      <c r="F27" s="38"/>
      <c r="G27" s="38"/>
      <c r="H27" s="77"/>
      <c r="I27" s="2596"/>
      <c r="J27" s="2596"/>
      <c r="K27" s="2596"/>
      <c r="L27" s="501"/>
      <c r="M27" s="501"/>
      <c r="N27" s="77"/>
      <c r="O27" s="66" t="s">
        <v>1450</v>
      </c>
      <c r="P27" s="4401"/>
      <c r="Q27" s="4390"/>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1456</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82"/>
      <c r="B30" s="4383"/>
      <c r="C30" s="4383"/>
      <c r="D30" s="4383"/>
      <c r="E30" s="4383"/>
      <c r="F30" s="4383"/>
      <c r="G30" s="4383"/>
      <c r="H30" s="4383"/>
      <c r="I30" s="4383"/>
      <c r="J30" s="4383"/>
      <c r="K30" s="4383"/>
      <c r="L30" s="4383"/>
      <c r="M30" s="4383"/>
      <c r="N30" s="4383"/>
      <c r="O30" s="4383"/>
      <c r="P30" s="4383"/>
      <c r="Q30" s="4384"/>
      <c r="R30" s="248" t="s">
        <v>6410</v>
      </c>
      <c r="S30" s="249"/>
      <c r="T30" s="82"/>
      <c r="U30" s="69"/>
      <c r="V30" s="69"/>
      <c r="W30" s="69"/>
      <c r="X30" s="69"/>
      <c r="Y30" s="69"/>
      <c r="Z30" s="69"/>
      <c r="AA30" s="69"/>
      <c r="AB30" s="69"/>
      <c r="AC30" s="69"/>
      <c r="AD30" s="69"/>
      <c r="AE30" s="69"/>
    </row>
    <row r="31" spans="1:31" ht="11.25" customHeight="1">
      <c r="A31" s="77"/>
      <c r="B31" s="70" t="s">
        <v>1452</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77"/>
      <c r="B32" s="4477"/>
      <c r="C32" s="4477"/>
      <c r="D32" s="4477"/>
      <c r="E32" s="4477"/>
      <c r="F32" s="4477"/>
      <c r="G32" s="4477"/>
      <c r="H32" s="4477"/>
      <c r="I32" s="4477"/>
      <c r="J32" s="4477"/>
      <c r="K32" s="4477"/>
      <c r="L32" s="4477"/>
      <c r="M32" s="4477"/>
      <c r="N32" s="4477"/>
      <c r="O32" s="4477"/>
      <c r="P32" s="4477"/>
      <c r="Q32" s="4477"/>
      <c r="R32" s="248" t="s">
        <v>6410</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31</v>
      </c>
      <c r="B34" s="3" t="s">
        <v>1457</v>
      </c>
      <c r="C34" s="3"/>
      <c r="D34" s="3"/>
      <c r="E34" s="2586"/>
      <c r="F34" s="2586"/>
      <c r="G34" s="1119"/>
      <c r="H34" s="77"/>
      <c r="I34" s="77"/>
      <c r="J34" s="77"/>
      <c r="K34" s="77"/>
      <c r="L34" s="77"/>
      <c r="M34" s="77"/>
      <c r="N34" s="77"/>
      <c r="O34" s="66" t="s">
        <v>1450</v>
      </c>
      <c r="P34" s="4401"/>
      <c r="Q34" s="4390"/>
      <c r="R34" s="77"/>
      <c r="S34" s="77"/>
      <c r="T34" s="77"/>
      <c r="U34" s="77"/>
      <c r="V34" s="77"/>
      <c r="W34" s="77"/>
      <c r="X34" s="77"/>
      <c r="Y34" s="77"/>
      <c r="Z34" s="77"/>
      <c r="AA34" s="77"/>
      <c r="AB34" s="77"/>
      <c r="AC34" s="77"/>
      <c r="AD34" s="77"/>
      <c r="AE34" s="77"/>
    </row>
    <row r="35" spans="1:31" ht="12.75" customHeight="1">
      <c r="A35" s="2521"/>
      <c r="B35" s="73" t="s">
        <v>6411</v>
      </c>
      <c r="C35" s="3"/>
      <c r="D35" s="3"/>
      <c r="E35" s="2586"/>
      <c r="F35" s="2586"/>
      <c r="G35" s="77"/>
      <c r="H35" s="2586"/>
      <c r="I35" s="77"/>
      <c r="J35" s="3400" t="s">
        <v>6412</v>
      </c>
      <c r="K35" s="3401"/>
      <c r="L35" s="3402"/>
      <c r="M35" s="98" t="s">
        <v>6413</v>
      </c>
      <c r="N35" s="4536"/>
      <c r="O35" s="4537"/>
      <c r="P35" s="4537"/>
      <c r="Q35" s="4538"/>
      <c r="R35" s="77"/>
      <c r="S35" s="77"/>
      <c r="T35" s="77"/>
      <c r="U35" s="77"/>
      <c r="V35" s="77"/>
      <c r="W35" s="77"/>
      <c r="X35" s="77"/>
      <c r="Y35" s="77"/>
      <c r="Z35" s="77"/>
      <c r="AA35" s="77"/>
      <c r="AB35" s="77"/>
      <c r="AC35" s="77"/>
      <c r="AD35" s="77"/>
      <c r="AE35" s="77"/>
    </row>
    <row r="36" spans="1:31" ht="12.75" customHeight="1">
      <c r="A36" s="2521"/>
      <c r="B36" s="73" t="s">
        <v>6414</v>
      </c>
      <c r="C36" s="3"/>
      <c r="D36" s="3"/>
      <c r="E36" s="2586"/>
      <c r="F36" s="2586"/>
      <c r="G36" s="1119"/>
      <c r="H36" s="2586"/>
      <c r="I36" s="77"/>
      <c r="J36" s="3400" t="s">
        <v>6415</v>
      </c>
      <c r="K36" s="3401"/>
      <c r="L36" s="3402"/>
      <c r="M36" s="98" t="s">
        <v>6413</v>
      </c>
      <c r="N36" s="4536"/>
      <c r="O36" s="4537"/>
      <c r="P36" s="4537"/>
      <c r="Q36" s="4538"/>
      <c r="R36" s="77"/>
      <c r="S36" s="77"/>
      <c r="T36" s="77"/>
      <c r="U36" s="77"/>
      <c r="V36" s="77"/>
      <c r="W36" s="77"/>
      <c r="X36" s="77"/>
      <c r="Y36" s="77"/>
      <c r="Z36" s="77"/>
      <c r="AA36" s="77"/>
      <c r="AB36" s="77"/>
      <c r="AC36" s="77"/>
      <c r="AD36" s="77"/>
      <c r="AE36" s="77"/>
    </row>
    <row r="37" spans="1:31" ht="12.75" customHeight="1">
      <c r="A37" s="77"/>
      <c r="B37" s="44" t="s">
        <v>1456</v>
      </c>
      <c r="C37" s="77"/>
      <c r="D37" s="44"/>
      <c r="E37" s="44"/>
      <c r="F37" s="44"/>
      <c r="G37" s="44"/>
      <c r="H37" s="16"/>
      <c r="I37" s="2596"/>
      <c r="J37" s="2596"/>
      <c r="K37" s="1200" t="s">
        <v>1452</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82"/>
      <c r="B38" s="4383"/>
      <c r="C38" s="4383"/>
      <c r="D38" s="4383"/>
      <c r="E38" s="4383"/>
      <c r="F38" s="4383"/>
      <c r="G38" s="4383"/>
      <c r="H38" s="4383"/>
      <c r="I38" s="4383"/>
      <c r="J38" s="4384"/>
      <c r="K38" s="4386"/>
      <c r="L38" s="4387"/>
      <c r="M38" s="4387"/>
      <c r="N38" s="4387"/>
      <c r="O38" s="4387"/>
      <c r="P38" s="4387"/>
      <c r="Q38" s="4388"/>
      <c r="R38" s="248" t="s">
        <v>6410</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43</v>
      </c>
      <c r="B40" s="2521" t="s">
        <v>6416</v>
      </c>
      <c r="C40" s="56"/>
      <c r="D40" s="2586"/>
      <c r="E40" s="2586"/>
      <c r="F40" s="2586"/>
      <c r="G40" s="2586"/>
      <c r="H40" s="2586"/>
      <c r="I40" s="2586"/>
      <c r="J40" s="2586"/>
      <c r="K40" s="77"/>
      <c r="L40" s="897" t="s">
        <v>6417</v>
      </c>
      <c r="M40" s="898" t="s">
        <v>6418</v>
      </c>
      <c r="N40" s="77"/>
      <c r="O40" s="66" t="s">
        <v>1450</v>
      </c>
      <c r="P40" s="4401"/>
      <c r="Q40" s="4390"/>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185</v>
      </c>
      <c r="B42" s="4385" t="s">
        <v>6419</v>
      </c>
      <c r="C42" s="4385"/>
      <c r="D42" s="4385"/>
      <c r="E42" s="4385"/>
      <c r="F42" s="4385"/>
      <c r="G42" s="4385"/>
      <c r="H42" s="4385"/>
      <c r="I42" s="4385"/>
      <c r="J42" s="4385"/>
      <c r="K42" s="77"/>
      <c r="L42" s="241" t="s">
        <v>6420</v>
      </c>
      <c r="M42" s="2612">
        <v>2</v>
      </c>
      <c r="N42" s="73" t="s">
        <v>6421</v>
      </c>
      <c r="O42" s="77"/>
      <c r="P42" s="4422"/>
      <c r="Q42" s="4434"/>
      <c r="R42" s="77"/>
      <c r="S42" s="77"/>
      <c r="T42" s="77"/>
      <c r="U42" s="77"/>
      <c r="V42" s="77"/>
      <c r="W42" s="77"/>
      <c r="X42" s="77"/>
      <c r="Y42" s="77"/>
      <c r="Z42" s="77"/>
      <c r="AA42" s="77"/>
      <c r="AB42" s="77"/>
      <c r="AC42" s="77"/>
      <c r="AD42" s="77"/>
      <c r="AE42" s="77"/>
    </row>
    <row r="43" spans="1:31" ht="12" customHeight="1">
      <c r="A43" s="75"/>
      <c r="B43" s="4385"/>
      <c r="C43" s="4385"/>
      <c r="D43" s="4385"/>
      <c r="E43" s="4385"/>
      <c r="F43" s="4385"/>
      <c r="G43" s="4385"/>
      <c r="H43" s="4385"/>
      <c r="I43" s="4385"/>
      <c r="J43" s="4385"/>
      <c r="K43" s="77"/>
      <c r="L43" s="241" t="s">
        <v>6422</v>
      </c>
      <c r="M43" s="832">
        <v>4</v>
      </c>
      <c r="N43" s="77"/>
      <c r="O43" s="329"/>
      <c r="P43" s="4423"/>
      <c r="Q43" s="4435"/>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6423</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197</v>
      </c>
      <c r="B45" s="73" t="s">
        <v>6424</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1510</v>
      </c>
      <c r="C46" s="73" t="s">
        <v>6425</v>
      </c>
      <c r="D46" s="808"/>
      <c r="E46" s="808"/>
      <c r="F46" s="808"/>
      <c r="G46" s="808"/>
      <c r="H46" s="808"/>
      <c r="I46" s="808"/>
      <c r="J46" s="808"/>
      <c r="K46" s="807"/>
      <c r="L46" s="73"/>
      <c r="M46" s="77"/>
      <c r="N46" s="73" t="s">
        <v>6426</v>
      </c>
      <c r="O46" s="522"/>
      <c r="P46" s="2898"/>
      <c r="Q46" s="2899"/>
      <c r="R46" s="77"/>
      <c r="S46" s="77"/>
      <c r="T46" s="77"/>
      <c r="U46" s="77"/>
      <c r="V46" s="77"/>
      <c r="W46" s="77"/>
      <c r="X46" s="77"/>
      <c r="Y46" s="77"/>
      <c r="Z46" s="77"/>
      <c r="AA46" s="77"/>
      <c r="AB46" s="77"/>
      <c r="AC46" s="77"/>
      <c r="AD46" s="77"/>
      <c r="AE46" s="77"/>
    </row>
    <row r="47" spans="1:31" ht="12.75" customHeight="1">
      <c r="A47" s="283"/>
      <c r="B47" s="265" t="s">
        <v>1513</v>
      </c>
      <c r="C47" s="73" t="s">
        <v>6427</v>
      </c>
      <c r="D47" s="808"/>
      <c r="E47" s="808"/>
      <c r="F47" s="808"/>
      <c r="G47" s="808"/>
      <c r="H47" s="808"/>
      <c r="I47" s="808"/>
      <c r="J47" s="808"/>
      <c r="K47" s="807"/>
      <c r="L47" s="73"/>
      <c r="M47" s="77"/>
      <c r="N47" s="73" t="s">
        <v>6428</v>
      </c>
      <c r="O47" s="522"/>
      <c r="P47" s="202"/>
      <c r="Q47" s="299"/>
      <c r="R47" s="77"/>
      <c r="S47" s="77"/>
      <c r="T47" s="77"/>
      <c r="U47" s="77"/>
      <c r="V47" s="77"/>
      <c r="W47" s="77"/>
      <c r="X47" s="77"/>
      <c r="Y47" s="77"/>
      <c r="Z47" s="77"/>
      <c r="AA47" s="77"/>
      <c r="AB47" s="77"/>
      <c r="AC47" s="77"/>
      <c r="AD47" s="77"/>
      <c r="AE47" s="77"/>
    </row>
    <row r="48" spans="1:31" ht="12.75" customHeight="1">
      <c r="A48" s="806"/>
      <c r="B48" s="265" t="s">
        <v>1514</v>
      </c>
      <c r="C48" s="73" t="s">
        <v>6429</v>
      </c>
      <c r="D48" s="77"/>
      <c r="E48" s="808"/>
      <c r="F48" s="808"/>
      <c r="G48" s="808"/>
      <c r="H48" s="808"/>
      <c r="I48" s="808"/>
      <c r="J48" s="808"/>
      <c r="K48" s="807"/>
      <c r="L48" s="73"/>
      <c r="M48" s="522"/>
      <c r="N48" s="73" t="s">
        <v>6430</v>
      </c>
      <c r="O48" s="522"/>
      <c r="P48" s="202"/>
      <c r="Q48" s="299"/>
      <c r="R48" s="77"/>
      <c r="S48" s="77"/>
      <c r="T48" s="77"/>
      <c r="U48" s="77"/>
      <c r="V48" s="77"/>
      <c r="W48" s="77"/>
      <c r="X48" s="77"/>
      <c r="Y48" s="77"/>
      <c r="Z48" s="77"/>
      <c r="AA48" s="77"/>
      <c r="AB48" s="77"/>
      <c r="AC48" s="77"/>
      <c r="AD48" s="77"/>
      <c r="AE48" s="77"/>
    </row>
    <row r="49" spans="1:31" ht="12.75" customHeight="1">
      <c r="A49" s="76"/>
      <c r="B49" s="265" t="s">
        <v>1515</v>
      </c>
      <c r="C49" s="265" t="s">
        <v>6431</v>
      </c>
      <c r="D49" s="68"/>
      <c r="E49" s="68"/>
      <c r="F49" s="68"/>
      <c r="G49" s="68"/>
      <c r="H49" s="68"/>
      <c r="I49" s="43"/>
      <c r="J49" s="43"/>
      <c r="K49" s="77"/>
      <c r="L49" s="77"/>
      <c r="M49" s="77"/>
      <c r="N49" s="73" t="s">
        <v>6432</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6433</v>
      </c>
      <c r="D50" s="68"/>
      <c r="E50" s="68"/>
      <c r="F50" s="68"/>
      <c r="G50" s="68"/>
      <c r="H50" s="68"/>
      <c r="I50" s="43"/>
      <c r="J50" s="43"/>
      <c r="K50" s="77"/>
      <c r="L50" s="4445"/>
      <c r="M50" s="4446"/>
      <c r="N50" s="4446"/>
      <c r="O50" s="4446"/>
      <c r="P50" s="4446"/>
      <c r="Q50" s="4447"/>
      <c r="R50" s="77"/>
      <c r="S50" s="77"/>
      <c r="T50" s="77"/>
      <c r="U50" s="77"/>
      <c r="V50" s="77"/>
      <c r="W50" s="77"/>
      <c r="X50" s="77"/>
      <c r="Y50" s="77"/>
      <c r="Z50" s="77"/>
      <c r="AA50" s="77"/>
      <c r="AB50" s="77"/>
      <c r="AC50" s="77"/>
      <c r="AD50" s="77"/>
      <c r="AE50" s="77"/>
    </row>
    <row r="51" spans="1:31" ht="12.75" customHeight="1">
      <c r="A51" s="76"/>
      <c r="B51" s="265" t="s">
        <v>4562</v>
      </c>
      <c r="C51" s="4385" t="s">
        <v>6434</v>
      </c>
      <c r="D51" s="4385"/>
      <c r="E51" s="4385"/>
      <c r="F51" s="4385"/>
      <c r="G51" s="4385"/>
      <c r="H51" s="4385"/>
      <c r="I51" s="4385"/>
      <c r="J51" s="4385"/>
      <c r="K51" s="4385"/>
      <c r="L51" s="4385"/>
      <c r="M51" s="297"/>
      <c r="N51" s="73" t="s">
        <v>6435</v>
      </c>
      <c r="O51" s="522"/>
      <c r="P51" s="2900"/>
      <c r="Q51" s="2901"/>
      <c r="R51" s="77"/>
      <c r="S51" s="77"/>
      <c r="T51" s="77"/>
      <c r="U51" s="77"/>
      <c r="V51" s="77"/>
      <c r="W51" s="77"/>
      <c r="X51" s="77"/>
      <c r="Y51" s="77"/>
      <c r="Z51" s="77"/>
      <c r="AA51" s="77"/>
      <c r="AB51" s="77"/>
      <c r="AC51" s="77"/>
      <c r="AD51" s="77"/>
      <c r="AE51" s="77"/>
    </row>
    <row r="52" spans="1:31" ht="12.75" customHeight="1">
      <c r="A52" s="22"/>
      <c r="B52" s="77"/>
      <c r="C52" s="4385"/>
      <c r="D52" s="4385"/>
      <c r="E52" s="4385"/>
      <c r="F52" s="4385"/>
      <c r="G52" s="4385"/>
      <c r="H52" s="4385"/>
      <c r="I52" s="4385"/>
      <c r="J52" s="4385"/>
      <c r="K52" s="4385"/>
      <c r="L52" s="4385"/>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1456</v>
      </c>
      <c r="C53" s="77"/>
      <c r="D53" s="44"/>
      <c r="E53" s="44"/>
      <c r="F53" s="44"/>
      <c r="G53" s="44"/>
      <c r="H53" s="16"/>
      <c r="I53" s="2596"/>
      <c r="J53" s="2596"/>
      <c r="K53" s="70" t="s">
        <v>1452</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82"/>
      <c r="B54" s="4383"/>
      <c r="C54" s="4383"/>
      <c r="D54" s="4383"/>
      <c r="E54" s="4383"/>
      <c r="F54" s="4383"/>
      <c r="G54" s="4383"/>
      <c r="H54" s="4383"/>
      <c r="I54" s="4383"/>
      <c r="J54" s="4384"/>
      <c r="K54" s="4386"/>
      <c r="L54" s="4387"/>
      <c r="M54" s="4387"/>
      <c r="N54" s="4387"/>
      <c r="O54" s="4387"/>
      <c r="P54" s="4387"/>
      <c r="Q54" s="4388"/>
      <c r="R54" s="248" t="s">
        <v>6410</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 customHeight="1">
      <c r="A56" s="2521" t="s">
        <v>57</v>
      </c>
      <c r="B56" s="2521" t="s">
        <v>1461</v>
      </c>
      <c r="C56" s="2521"/>
      <c r="D56" s="2586"/>
      <c r="E56" s="2586"/>
      <c r="F56" s="2586"/>
      <c r="G56" s="2586"/>
      <c r="H56" s="903" t="e">
        <f>#REF!</f>
        <v>#REF!</v>
      </c>
      <c r="I56" s="77"/>
      <c r="J56" s="1229" t="s">
        <v>6436</v>
      </c>
      <c r="K56" s="305" t="str">
        <f>'Part VIII Scoring Criteria OLD'!$M$60</f>
        <v>&lt;&lt; Select Pool &gt;&gt;</v>
      </c>
      <c r="L56" s="1229" t="s">
        <v>6437</v>
      </c>
      <c r="M56" s="629" t="str">
        <f>J35</f>
        <v>&lt;&lt; Select PROPOSED Tenancy &gt;&gt;</v>
      </c>
      <c r="N56" s="77"/>
      <c r="O56" s="66" t="s">
        <v>1450</v>
      </c>
      <c r="P56" s="4401"/>
      <c r="Q56" s="4390"/>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185</v>
      </c>
      <c r="B58" s="13" t="s">
        <v>1462</v>
      </c>
      <c r="C58" s="77"/>
      <c r="D58" s="68"/>
      <c r="E58" s="68"/>
      <c r="F58" s="68"/>
      <c r="G58" s="68"/>
      <c r="H58" s="68"/>
      <c r="I58" s="43"/>
      <c r="J58" s="43"/>
      <c r="K58" s="43"/>
      <c r="L58" s="28" t="s">
        <v>185</v>
      </c>
      <c r="M58" s="4394"/>
      <c r="N58" s="4395"/>
      <c r="O58" s="4395"/>
      <c r="P58" s="4476"/>
      <c r="Q58" s="2899"/>
      <c r="R58" s="77"/>
      <c r="S58" s="77"/>
      <c r="T58" s="77"/>
      <c r="U58" s="77"/>
      <c r="V58" s="77"/>
      <c r="W58" s="77"/>
      <c r="X58" s="77"/>
      <c r="Y58" s="77"/>
      <c r="Z58" s="77"/>
      <c r="AA58" s="77"/>
      <c r="AB58" s="77"/>
      <c r="AC58" s="77"/>
      <c r="AD58" s="77"/>
      <c r="AE58" s="77"/>
    </row>
    <row r="59" spans="1:31" ht="12.75" customHeight="1">
      <c r="A59" s="22" t="s">
        <v>197</v>
      </c>
      <c r="B59" s="13" t="s">
        <v>6438</v>
      </c>
      <c r="C59" s="77"/>
      <c r="D59" s="68"/>
      <c r="E59" s="68"/>
      <c r="F59" s="68"/>
      <c r="G59" s="77"/>
      <c r="H59" s="77"/>
      <c r="I59" s="77"/>
      <c r="J59" s="77"/>
      <c r="K59" s="77"/>
      <c r="L59" s="28" t="s">
        <v>197</v>
      </c>
      <c r="M59" s="4418"/>
      <c r="N59" s="4419"/>
      <c r="O59" s="4419"/>
      <c r="P59" s="4420"/>
      <c r="Q59" s="299"/>
      <c r="R59" s="77"/>
      <c r="S59" s="77"/>
      <c r="T59" s="77"/>
      <c r="U59" s="77"/>
      <c r="V59" s="77"/>
      <c r="W59" s="77"/>
      <c r="X59" s="77"/>
      <c r="Y59" s="77"/>
      <c r="Z59" s="77"/>
      <c r="AA59" s="77"/>
      <c r="AB59" s="77"/>
      <c r="AC59" s="77"/>
      <c r="AD59" s="77"/>
      <c r="AE59" s="77"/>
    </row>
    <row r="60" spans="1:31" ht="12.75" customHeight="1">
      <c r="A60" s="22" t="s">
        <v>218</v>
      </c>
      <c r="B60" s="13" t="s">
        <v>6439</v>
      </c>
      <c r="C60" s="77"/>
      <c r="D60" s="68"/>
      <c r="E60" s="68"/>
      <c r="F60" s="68"/>
      <c r="G60" s="77"/>
      <c r="H60" s="77"/>
      <c r="I60" s="77"/>
      <c r="J60" s="77"/>
      <c r="K60" s="77"/>
      <c r="L60" s="28" t="s">
        <v>218</v>
      </c>
      <c r="M60" s="4414"/>
      <c r="N60" s="4415"/>
      <c r="O60" s="4415"/>
      <c r="P60" s="4416"/>
      <c r="Q60" s="299"/>
      <c r="R60" s="77"/>
      <c r="S60" s="77"/>
      <c r="T60" s="77"/>
      <c r="U60" s="77"/>
      <c r="V60" s="77"/>
      <c r="W60" s="77"/>
      <c r="X60" s="77"/>
      <c r="Y60" s="77"/>
      <c r="Z60" s="77"/>
      <c r="AA60" s="77"/>
      <c r="AB60" s="77"/>
      <c r="AC60" s="77"/>
      <c r="AD60" s="77"/>
      <c r="AE60" s="77"/>
    </row>
    <row r="61" spans="1:31" ht="12.75" customHeight="1">
      <c r="A61" s="22" t="s">
        <v>220</v>
      </c>
      <c r="B61" s="13" t="s">
        <v>6440</v>
      </c>
      <c r="C61" s="77"/>
      <c r="D61" s="68"/>
      <c r="E61" s="68"/>
      <c r="F61" s="68"/>
      <c r="G61" s="77"/>
      <c r="H61" s="77"/>
      <c r="I61" s="77"/>
      <c r="J61" s="28" t="s">
        <v>6441</v>
      </c>
      <c r="K61" s="2902"/>
      <c r="L61" s="2903"/>
      <c r="M61" s="2761"/>
      <c r="N61" s="2904"/>
      <c r="O61" s="2905" t="s">
        <v>6442</v>
      </c>
      <c r="P61" s="638"/>
      <c r="Q61" s="1025"/>
      <c r="R61" s="77"/>
      <c r="S61" s="77"/>
      <c r="T61" s="77"/>
      <c r="U61" s="77"/>
      <c r="V61" s="77"/>
      <c r="W61" s="77"/>
      <c r="X61" s="77"/>
      <c r="Y61" s="77"/>
      <c r="Z61" s="77"/>
      <c r="AA61" s="77"/>
      <c r="AB61" s="77"/>
      <c r="AC61" s="77"/>
      <c r="AD61" s="77"/>
      <c r="AE61" s="77"/>
    </row>
    <row r="62" spans="1:31" ht="12.75" customHeight="1">
      <c r="A62" s="22" t="s">
        <v>227</v>
      </c>
      <c r="B62" s="13" t="s">
        <v>6443</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6444</v>
      </c>
      <c r="E63" s="16" t="s">
        <v>45</v>
      </c>
      <c r="F63" s="16"/>
      <c r="G63" s="77"/>
      <c r="H63" s="13"/>
      <c r="I63" s="2596" t="s">
        <v>6444</v>
      </c>
      <c r="J63" s="16" t="s">
        <v>45</v>
      </c>
      <c r="K63" s="16"/>
      <c r="L63" s="77"/>
      <c r="M63" s="13"/>
      <c r="N63" s="2596" t="s">
        <v>6444</v>
      </c>
      <c r="O63" s="16" t="s">
        <v>45</v>
      </c>
      <c r="P63" s="16"/>
      <c r="Q63" s="28"/>
      <c r="R63" s="77"/>
      <c r="S63" s="77"/>
      <c r="T63" s="77"/>
      <c r="U63" s="77"/>
      <c r="V63" s="77"/>
      <c r="W63" s="77"/>
      <c r="X63" s="77"/>
      <c r="Y63" s="77"/>
      <c r="Z63" s="77"/>
      <c r="AA63" s="77"/>
      <c r="AB63" s="77"/>
      <c r="AC63" s="77"/>
      <c r="AD63" s="77"/>
      <c r="AE63" s="77"/>
    </row>
    <row r="64" spans="1:31" ht="12.75" customHeight="1">
      <c r="A64" s="77"/>
      <c r="B64" s="77"/>
      <c r="C64" s="28" t="s">
        <v>1510</v>
      </c>
      <c r="D64" s="2906"/>
      <c r="E64" s="4421"/>
      <c r="F64" s="4421"/>
      <c r="G64" s="4421"/>
      <c r="H64" s="28" t="s">
        <v>1515</v>
      </c>
      <c r="I64" s="2906"/>
      <c r="J64" s="4421"/>
      <c r="K64" s="4421"/>
      <c r="L64" s="4421"/>
      <c r="M64" s="28" t="s">
        <v>4566</v>
      </c>
      <c r="N64" s="2906"/>
      <c r="O64" s="4421"/>
      <c r="P64" s="4421"/>
      <c r="Q64" s="4421"/>
      <c r="R64" s="77"/>
      <c r="S64" s="77"/>
      <c r="T64" s="77"/>
      <c r="U64" s="77"/>
      <c r="V64" s="77"/>
      <c r="W64" s="77"/>
      <c r="X64" s="77"/>
      <c r="Y64" s="77"/>
      <c r="Z64" s="77"/>
      <c r="AA64" s="77"/>
      <c r="AB64" s="77"/>
      <c r="AC64" s="77"/>
      <c r="AD64" s="77"/>
      <c r="AE64" s="77"/>
    </row>
    <row r="65" spans="1:31" ht="12.75" customHeight="1">
      <c r="A65" s="77"/>
      <c r="B65" s="77"/>
      <c r="C65" s="28" t="s">
        <v>1513</v>
      </c>
      <c r="D65" s="1202"/>
      <c r="E65" s="4522"/>
      <c r="F65" s="4522"/>
      <c r="G65" s="4522"/>
      <c r="H65" s="28" t="s">
        <v>4562</v>
      </c>
      <c r="I65" s="1202"/>
      <c r="J65" s="4522"/>
      <c r="K65" s="4522"/>
      <c r="L65" s="4522"/>
      <c r="M65" s="28" t="s">
        <v>4568</v>
      </c>
      <c r="N65" s="1202"/>
      <c r="O65" s="4522"/>
      <c r="P65" s="4522"/>
      <c r="Q65" s="4522"/>
      <c r="R65" s="77"/>
      <c r="S65" s="77"/>
      <c r="T65" s="77"/>
      <c r="U65" s="77"/>
      <c r="V65" s="77"/>
      <c r="W65" s="77"/>
      <c r="X65" s="77"/>
      <c r="Y65" s="77"/>
      <c r="Z65" s="77"/>
      <c r="AA65" s="77"/>
      <c r="AB65" s="77"/>
      <c r="AC65" s="77"/>
      <c r="AD65" s="77"/>
      <c r="AE65" s="77"/>
    </row>
    <row r="66" spans="1:31" ht="12.75" customHeight="1">
      <c r="A66" s="77"/>
      <c r="B66" s="77"/>
      <c r="C66" s="28" t="s">
        <v>1514</v>
      </c>
      <c r="D66" s="275"/>
      <c r="E66" s="4471"/>
      <c r="F66" s="4471"/>
      <c r="G66" s="4471"/>
      <c r="H66" s="28" t="s">
        <v>4564</v>
      </c>
      <c r="I66" s="275"/>
      <c r="J66" s="4471"/>
      <c r="K66" s="4471"/>
      <c r="L66" s="4471"/>
      <c r="M66" s="28" t="s">
        <v>4570</v>
      </c>
      <c r="N66" s="275"/>
      <c r="O66" s="4471"/>
      <c r="P66" s="4471"/>
      <c r="Q66" s="4471"/>
      <c r="R66" s="77"/>
      <c r="S66" s="77"/>
      <c r="T66" s="77"/>
      <c r="U66" s="77"/>
      <c r="V66" s="77"/>
      <c r="W66" s="77"/>
      <c r="X66" s="77"/>
      <c r="Y66" s="77"/>
      <c r="Z66" s="77"/>
      <c r="AA66" s="77"/>
      <c r="AB66" s="77"/>
      <c r="AC66" s="77"/>
      <c r="AD66" s="77"/>
      <c r="AE66" s="77"/>
    </row>
    <row r="67" spans="1:31" ht="12.75" customHeight="1">
      <c r="A67" s="22" t="s">
        <v>229</v>
      </c>
      <c r="B67" s="13" t="s">
        <v>6445</v>
      </c>
      <c r="C67" s="77"/>
      <c r="D67" s="68"/>
      <c r="E67" s="68"/>
      <c r="F67" s="68"/>
      <c r="G67" s="68"/>
      <c r="H67" s="68"/>
      <c r="I67" s="43"/>
      <c r="J67" s="43"/>
      <c r="K67" s="68"/>
      <c r="L67" s="2590"/>
      <c r="M67" s="2590"/>
      <c r="N67" s="77"/>
      <c r="O67" s="28" t="s">
        <v>229</v>
      </c>
      <c r="P67" s="2898"/>
      <c r="Q67" s="2899"/>
      <c r="R67" s="77"/>
      <c r="S67" s="77"/>
      <c r="T67" s="77"/>
      <c r="U67" s="77"/>
      <c r="V67" s="77"/>
      <c r="W67" s="77"/>
      <c r="X67" s="77"/>
      <c r="Y67" s="77"/>
      <c r="Z67" s="77"/>
      <c r="AA67" s="77"/>
      <c r="AB67" s="77"/>
      <c r="AC67" s="77"/>
      <c r="AD67" s="77"/>
      <c r="AE67" s="77"/>
    </row>
    <row r="68" spans="1:31" ht="12.75" customHeight="1">
      <c r="A68" s="22" t="s">
        <v>6446</v>
      </c>
      <c r="B68" s="13" t="s">
        <v>6447</v>
      </c>
      <c r="C68" s="77"/>
      <c r="D68" s="68"/>
      <c r="E68" s="68"/>
      <c r="F68" s="68"/>
      <c r="G68" s="68"/>
      <c r="H68" s="68"/>
      <c r="I68" s="43"/>
      <c r="J68" s="43"/>
      <c r="K68" s="68"/>
      <c r="L68" s="2590"/>
      <c r="M68" s="2590"/>
      <c r="N68" s="77"/>
      <c r="O68" s="28" t="s">
        <v>6446</v>
      </c>
      <c r="P68" s="202"/>
      <c r="Q68" s="299"/>
      <c r="R68" s="77"/>
      <c r="S68" s="77"/>
      <c r="T68" s="77"/>
      <c r="U68" s="77"/>
      <c r="V68" s="77"/>
      <c r="W68" s="77"/>
      <c r="X68" s="77"/>
      <c r="Y68" s="77"/>
      <c r="Z68" s="77"/>
      <c r="AA68" s="77"/>
      <c r="AB68" s="77"/>
      <c r="AC68" s="77"/>
      <c r="AD68" s="77"/>
      <c r="AE68" s="77"/>
    </row>
    <row r="69" spans="1:31" ht="10.5" customHeight="1">
      <c r="A69" s="22" t="s">
        <v>6448</v>
      </c>
      <c r="B69" s="13" t="s">
        <v>6449</v>
      </c>
      <c r="C69" s="77"/>
      <c r="D69" s="68"/>
      <c r="E69" s="68"/>
      <c r="F69" s="68"/>
      <c r="G69" s="68"/>
      <c r="H69" s="68"/>
      <c r="I69" s="43"/>
      <c r="J69" s="43"/>
      <c r="K69" s="68"/>
      <c r="L69" s="2590"/>
      <c r="M69" s="2590"/>
      <c r="N69" s="77"/>
      <c r="O69" s="28" t="s">
        <v>6448</v>
      </c>
      <c r="P69" s="638"/>
      <c r="Q69" s="1025"/>
      <c r="R69" s="77"/>
      <c r="S69" s="77"/>
      <c r="T69" s="77"/>
      <c r="U69" s="77"/>
      <c r="V69" s="77"/>
      <c r="W69" s="77"/>
      <c r="X69" s="77"/>
      <c r="Y69" s="77"/>
      <c r="Z69" s="77"/>
      <c r="AA69" s="77"/>
      <c r="AB69" s="77"/>
      <c r="AC69" s="77"/>
      <c r="AD69" s="77"/>
      <c r="AE69" s="77"/>
    </row>
    <row r="70" spans="1:31" ht="9.75" customHeight="1">
      <c r="A70" s="77"/>
      <c r="B70" s="74" t="s">
        <v>1456</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82"/>
      <c r="B71" s="4383"/>
      <c r="C71" s="4383"/>
      <c r="D71" s="4383"/>
      <c r="E71" s="4383"/>
      <c r="F71" s="4383"/>
      <c r="G71" s="4383"/>
      <c r="H71" s="4383"/>
      <c r="I71" s="4383"/>
      <c r="J71" s="4383"/>
      <c r="K71" s="4383"/>
      <c r="L71" s="4383"/>
      <c r="M71" s="4383"/>
      <c r="N71" s="4383"/>
      <c r="O71" s="4383"/>
      <c r="P71" s="4383"/>
      <c r="Q71" s="4384"/>
      <c r="R71" s="77"/>
      <c r="S71" s="77"/>
      <c r="T71" s="77"/>
      <c r="U71" s="69"/>
      <c r="V71" s="69"/>
      <c r="W71" s="69"/>
      <c r="X71" s="69"/>
      <c r="Y71" s="69"/>
      <c r="Z71" s="69"/>
      <c r="AA71" s="69"/>
      <c r="AB71" s="69"/>
      <c r="AC71" s="69"/>
      <c r="AD71" s="69"/>
      <c r="AE71" s="69"/>
    </row>
    <row r="72" spans="1:31" ht="9.75" customHeight="1">
      <c r="A72" s="77"/>
      <c r="B72" s="70" t="s">
        <v>1452</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86"/>
      <c r="B73" s="4387"/>
      <c r="C73" s="4387"/>
      <c r="D73" s="4387"/>
      <c r="E73" s="4387"/>
      <c r="F73" s="4387"/>
      <c r="G73" s="4387"/>
      <c r="H73" s="4387"/>
      <c r="I73" s="4387"/>
      <c r="J73" s="4387"/>
      <c r="K73" s="4387"/>
      <c r="L73" s="4387"/>
      <c r="M73" s="4387"/>
      <c r="N73" s="4387"/>
      <c r="O73" s="4387"/>
      <c r="P73" s="4387"/>
      <c r="Q73" s="4388"/>
      <c r="R73" s="77"/>
      <c r="S73" s="77"/>
      <c r="T73" s="77"/>
      <c r="U73" s="77"/>
      <c r="V73" s="77"/>
      <c r="W73" s="77"/>
      <c r="X73" s="77"/>
      <c r="Y73" s="77"/>
      <c r="Z73" s="77"/>
      <c r="AA73" s="77"/>
      <c r="AB73" s="77"/>
      <c r="AC73" s="77"/>
      <c r="AD73" s="77"/>
      <c r="AE73" s="77"/>
    </row>
    <row r="74" spans="1:31" ht="14.1" customHeight="1">
      <c r="A74" s="2521" t="s">
        <v>66</v>
      </c>
      <c r="B74" s="2521" t="s">
        <v>1467</v>
      </c>
      <c r="C74" s="2521"/>
      <c r="D74" s="2586"/>
      <c r="E74" s="2586"/>
      <c r="F74" s="2586"/>
      <c r="G74" s="2586"/>
      <c r="H74" s="2586"/>
      <c r="I74" s="2586"/>
      <c r="J74" s="2586"/>
      <c r="K74" s="2586"/>
      <c r="L74" s="2586"/>
      <c r="M74" s="2586"/>
      <c r="N74" s="77"/>
      <c r="O74" s="66" t="s">
        <v>1450</v>
      </c>
      <c r="P74" s="4401"/>
      <c r="Q74" s="4390"/>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185</v>
      </c>
      <c r="B76" s="13" t="s">
        <v>6450</v>
      </c>
      <c r="C76" s="13"/>
      <c r="D76" s="77"/>
      <c r="E76" s="13"/>
      <c r="F76" s="13"/>
      <c r="G76" s="13"/>
      <c r="H76" s="13"/>
      <c r="I76" s="13"/>
      <c r="J76" s="13"/>
      <c r="K76" s="13"/>
      <c r="L76" s="16"/>
      <c r="M76" s="16"/>
      <c r="N76" s="77"/>
      <c r="O76" s="28" t="s">
        <v>185</v>
      </c>
      <c r="P76" s="2900"/>
      <c r="Q76" s="2899"/>
      <c r="R76" s="77"/>
      <c r="S76" s="77"/>
      <c r="T76" s="77"/>
      <c r="U76" s="77"/>
      <c r="V76" s="77"/>
      <c r="W76" s="77"/>
      <c r="X76" s="77"/>
      <c r="Y76" s="77"/>
      <c r="Z76" s="77"/>
      <c r="AA76" s="77"/>
      <c r="AB76" s="77"/>
      <c r="AC76" s="77"/>
      <c r="AD76" s="77"/>
      <c r="AE76" s="77"/>
    </row>
    <row r="77" spans="1:31" ht="12.75" customHeight="1">
      <c r="A77" s="77"/>
      <c r="B77" s="265" t="s">
        <v>1510</v>
      </c>
      <c r="C77" s="13" t="s">
        <v>6451</v>
      </c>
      <c r="D77" s="77"/>
      <c r="E77" s="43"/>
      <c r="F77" s="43"/>
      <c r="G77" s="43"/>
      <c r="H77" s="43"/>
      <c r="I77" s="43"/>
      <c r="J77" s="77"/>
      <c r="K77" s="77"/>
      <c r="L77" s="28" t="s">
        <v>6452</v>
      </c>
      <c r="M77" s="4445"/>
      <c r="N77" s="4446"/>
      <c r="O77" s="4446"/>
      <c r="P77" s="4526"/>
      <c r="Q77" s="299"/>
      <c r="R77" s="77"/>
      <c r="S77" s="77"/>
      <c r="T77" s="77"/>
      <c r="U77" s="77"/>
      <c r="V77" s="77"/>
      <c r="W77" s="77"/>
      <c r="X77" s="77"/>
      <c r="Y77" s="77"/>
      <c r="Z77" s="77"/>
      <c r="AA77" s="77"/>
      <c r="AB77" s="77"/>
      <c r="AC77" s="77"/>
      <c r="AD77" s="77"/>
      <c r="AE77" s="77"/>
    </row>
    <row r="78" spans="1:31" s="18" customFormat="1" ht="12.75" customHeight="1">
      <c r="A78" s="43"/>
      <c r="B78" s="16" t="s">
        <v>1513</v>
      </c>
      <c r="C78" s="13" t="s">
        <v>6453</v>
      </c>
      <c r="D78" s="43"/>
      <c r="E78" s="43"/>
      <c r="F78" s="43"/>
      <c r="G78" s="43"/>
      <c r="H78" s="43"/>
      <c r="I78" s="43"/>
      <c r="J78" s="43"/>
      <c r="K78" s="43"/>
      <c r="L78" s="43"/>
      <c r="M78" s="43"/>
      <c r="N78" s="43"/>
      <c r="O78" s="28" t="s">
        <v>1513</v>
      </c>
      <c r="P78" s="2898"/>
      <c r="Q78" s="2899"/>
      <c r="R78" s="43"/>
      <c r="S78" s="43"/>
      <c r="T78" s="43"/>
      <c r="U78" s="43"/>
      <c r="V78" s="43"/>
      <c r="W78" s="43"/>
      <c r="X78" s="43"/>
      <c r="Y78" s="43"/>
      <c r="Z78" s="43"/>
      <c r="AA78" s="43"/>
      <c r="AB78" s="43"/>
      <c r="AC78" s="43"/>
      <c r="AD78" s="43"/>
      <c r="AE78" s="43"/>
    </row>
    <row r="79" spans="1:31" s="18" customFormat="1" ht="12.75" customHeight="1">
      <c r="A79" s="43"/>
      <c r="B79" s="265" t="s">
        <v>1514</v>
      </c>
      <c r="C79" s="13" t="s">
        <v>6454</v>
      </c>
      <c r="D79" s="43"/>
      <c r="E79" s="43"/>
      <c r="F79" s="43"/>
      <c r="G79" s="43"/>
      <c r="H79" s="43"/>
      <c r="I79" s="43"/>
      <c r="J79" s="43"/>
      <c r="K79" s="43"/>
      <c r="L79" s="43"/>
      <c r="M79" s="43"/>
      <c r="N79" s="43"/>
      <c r="O79" s="84" t="s">
        <v>1514</v>
      </c>
      <c r="P79" s="944"/>
      <c r="Q79" s="945"/>
      <c r="R79" s="43"/>
      <c r="S79" s="43"/>
      <c r="T79" s="43"/>
      <c r="U79" s="43"/>
      <c r="V79" s="43"/>
      <c r="W79" s="43"/>
      <c r="X79" s="43"/>
      <c r="Y79" s="43"/>
      <c r="Z79" s="43"/>
      <c r="AA79" s="43"/>
      <c r="AB79" s="43"/>
      <c r="AC79" s="43"/>
      <c r="AD79" s="43"/>
      <c r="AE79" s="43"/>
    </row>
    <row r="80" spans="1:31" ht="12.75" customHeight="1">
      <c r="A80" s="2596"/>
      <c r="B80" s="265" t="s">
        <v>1515</v>
      </c>
      <c r="C80" s="16" t="s">
        <v>6455</v>
      </c>
      <c r="D80" s="588"/>
      <c r="E80" s="588"/>
      <c r="F80" s="588"/>
      <c r="G80" s="588"/>
      <c r="H80" s="588"/>
      <c r="I80" s="588"/>
      <c r="J80" s="588"/>
      <c r="K80" s="588"/>
      <c r="L80" s="588"/>
      <c r="M80" s="588"/>
      <c r="N80" s="77"/>
      <c r="O80" s="84" t="s">
        <v>1515</v>
      </c>
      <c r="P80" s="584"/>
      <c r="Q80" s="299"/>
      <c r="R80" s="77"/>
      <c r="S80" s="77"/>
      <c r="T80" s="77"/>
      <c r="U80" s="77"/>
      <c r="V80" s="77"/>
      <c r="W80" s="77"/>
      <c r="X80" s="77"/>
      <c r="Y80" s="77"/>
      <c r="Z80" s="77"/>
      <c r="AA80" s="77"/>
      <c r="AB80" s="77"/>
      <c r="AC80" s="77"/>
      <c r="AD80" s="77"/>
      <c r="AE80" s="77"/>
    </row>
    <row r="81" spans="1:31" ht="12.75" customHeight="1">
      <c r="A81" s="2596"/>
      <c r="B81" s="265" t="s">
        <v>4562</v>
      </c>
      <c r="C81" s="16" t="s">
        <v>6456</v>
      </c>
      <c r="D81" s="588"/>
      <c r="E81" s="588"/>
      <c r="F81" s="588"/>
      <c r="G81" s="588"/>
      <c r="H81" s="588"/>
      <c r="I81" s="588"/>
      <c r="J81" s="588"/>
      <c r="K81" s="588"/>
      <c r="L81" s="588"/>
      <c r="M81" s="588"/>
      <c r="N81" s="77"/>
      <c r="O81" s="84" t="s">
        <v>4562</v>
      </c>
      <c r="P81" s="202"/>
      <c r="Q81" s="299"/>
      <c r="R81" s="77"/>
      <c r="S81" s="77"/>
      <c r="T81" s="77"/>
      <c r="U81" s="77"/>
      <c r="V81" s="77"/>
      <c r="W81" s="77"/>
      <c r="X81" s="77"/>
      <c r="Y81" s="77"/>
      <c r="Z81" s="77"/>
      <c r="AA81" s="77"/>
      <c r="AB81" s="77"/>
      <c r="AC81" s="77"/>
      <c r="AD81" s="77"/>
      <c r="AE81" s="77"/>
    </row>
    <row r="82" spans="1:31" ht="12.75" customHeight="1">
      <c r="A82" s="2596"/>
      <c r="B82" s="265" t="s">
        <v>4564</v>
      </c>
      <c r="C82" s="16" t="s">
        <v>6457</v>
      </c>
      <c r="D82" s="588"/>
      <c r="E82" s="588"/>
      <c r="F82" s="588"/>
      <c r="G82" s="588"/>
      <c r="H82" s="588"/>
      <c r="I82" s="588"/>
      <c r="J82" s="588"/>
      <c r="K82" s="588"/>
      <c r="L82" s="588"/>
      <c r="M82" s="588"/>
      <c r="N82" s="77"/>
      <c r="O82" s="84" t="s">
        <v>4564</v>
      </c>
      <c r="P82" s="202"/>
      <c r="Q82" s="299"/>
      <c r="R82" s="77"/>
      <c r="S82" s="77"/>
      <c r="T82" s="77"/>
      <c r="U82" s="77"/>
      <c r="V82" s="77"/>
      <c r="W82" s="77"/>
      <c r="X82" s="77"/>
      <c r="Y82" s="77"/>
      <c r="Z82" s="77"/>
      <c r="AA82" s="77"/>
      <c r="AB82" s="77"/>
      <c r="AC82" s="77"/>
      <c r="AD82" s="77"/>
      <c r="AE82" s="77"/>
    </row>
    <row r="83" spans="1:31" ht="12.75" customHeight="1">
      <c r="A83" s="2596"/>
      <c r="B83" s="265" t="s">
        <v>4566</v>
      </c>
      <c r="C83" s="16" t="s">
        <v>6458</v>
      </c>
      <c r="D83" s="16"/>
      <c r="E83" s="16"/>
      <c r="F83" s="16"/>
      <c r="G83" s="16"/>
      <c r="H83" s="16"/>
      <c r="I83" s="16"/>
      <c r="J83" s="16"/>
      <c r="K83" s="16"/>
      <c r="L83" s="16"/>
      <c r="M83" s="509"/>
      <c r="N83" s="77"/>
      <c r="O83" s="84" t="s">
        <v>4566</v>
      </c>
      <c r="P83" s="202"/>
      <c r="Q83" s="299"/>
      <c r="R83" s="77"/>
      <c r="S83" s="77"/>
      <c r="T83" s="77"/>
      <c r="U83" s="77"/>
      <c r="V83" s="77"/>
      <c r="W83" s="77"/>
      <c r="X83" s="77"/>
      <c r="Y83" s="77"/>
      <c r="Z83" s="77"/>
      <c r="AA83" s="77"/>
      <c r="AB83" s="77"/>
      <c r="AC83" s="77"/>
      <c r="AD83" s="77"/>
      <c r="AE83" s="77"/>
    </row>
    <row r="84" spans="1:31" s="67" customFormat="1" ht="23.25" customHeight="1">
      <c r="A84" s="241"/>
      <c r="B84" s="265" t="s">
        <v>4568</v>
      </c>
      <c r="C84" s="4385" t="s">
        <v>6459</v>
      </c>
      <c r="D84" s="4385"/>
      <c r="E84" s="4385"/>
      <c r="F84" s="4385"/>
      <c r="G84" s="4385"/>
      <c r="H84" s="4385"/>
      <c r="I84" s="4385"/>
      <c r="J84" s="4385"/>
      <c r="K84" s="4385"/>
      <c r="L84" s="4385"/>
      <c r="M84" s="4385"/>
      <c r="N84" s="4385"/>
      <c r="O84" s="84" t="s">
        <v>4568</v>
      </c>
      <c r="P84" s="2595"/>
      <c r="Q84" s="2593"/>
      <c r="R84" s="229"/>
      <c r="S84" s="229"/>
      <c r="T84" s="229"/>
      <c r="U84" s="229"/>
      <c r="V84" s="229"/>
      <c r="W84" s="229"/>
      <c r="X84" s="229"/>
      <c r="Y84" s="229"/>
      <c r="Z84" s="229"/>
      <c r="AA84" s="229"/>
      <c r="AB84" s="229"/>
      <c r="AC84" s="229"/>
      <c r="AD84" s="229"/>
      <c r="AE84" s="229"/>
    </row>
    <row r="85" spans="1:31" ht="12.75" customHeight="1">
      <c r="A85" s="22" t="s">
        <v>197</v>
      </c>
      <c r="B85" s="13" t="s">
        <v>1469</v>
      </c>
      <c r="C85" s="13"/>
      <c r="D85" s="77"/>
      <c r="E85" s="13"/>
      <c r="F85" s="13"/>
      <c r="G85" s="13"/>
      <c r="H85" s="13"/>
      <c r="I85" s="13"/>
      <c r="J85" s="13"/>
      <c r="K85" s="13"/>
      <c r="L85" s="13"/>
      <c r="M85" s="13"/>
      <c r="N85" s="77"/>
      <c r="O85" s="28" t="s">
        <v>197</v>
      </c>
      <c r="P85" s="2898"/>
      <c r="Q85" s="2899"/>
      <c r="R85" s="77"/>
      <c r="S85" s="77"/>
      <c r="T85" s="77"/>
      <c r="U85" s="77"/>
      <c r="V85" s="77"/>
      <c r="W85" s="77"/>
      <c r="X85" s="77"/>
      <c r="Y85" s="77"/>
      <c r="Z85" s="77"/>
      <c r="AA85" s="77"/>
      <c r="AB85" s="77"/>
      <c r="AC85" s="77"/>
      <c r="AD85" s="77"/>
      <c r="AE85" s="77"/>
    </row>
    <row r="86" spans="1:31" ht="12.75" customHeight="1">
      <c r="A86" s="77"/>
      <c r="B86" s="265" t="s">
        <v>1510</v>
      </c>
      <c r="C86" s="13" t="s">
        <v>6460</v>
      </c>
      <c r="D86" s="13"/>
      <c r="E86" s="13"/>
      <c r="F86" s="13"/>
      <c r="G86" s="13"/>
      <c r="H86" s="13"/>
      <c r="I86" s="13"/>
      <c r="J86" s="13"/>
      <c r="K86" s="13"/>
      <c r="L86" s="13"/>
      <c r="M86" s="13"/>
      <c r="N86" s="77"/>
      <c r="O86" s="84" t="s">
        <v>1510</v>
      </c>
      <c r="P86" s="2898"/>
      <c r="Q86" s="2899"/>
      <c r="R86" s="77"/>
      <c r="S86" s="77"/>
      <c r="T86" s="77"/>
      <c r="U86" s="77"/>
      <c r="V86" s="77"/>
      <c r="W86" s="77"/>
      <c r="X86" s="77"/>
      <c r="Y86" s="77"/>
      <c r="Z86" s="77"/>
      <c r="AA86" s="77"/>
      <c r="AB86" s="77"/>
      <c r="AC86" s="77"/>
      <c r="AD86" s="77"/>
      <c r="AE86" s="77"/>
    </row>
    <row r="87" spans="1:31" ht="12.75" customHeight="1">
      <c r="A87" s="22"/>
      <c r="B87" s="16" t="s">
        <v>1513</v>
      </c>
      <c r="C87" s="13" t="s">
        <v>6461</v>
      </c>
      <c r="D87" s="13"/>
      <c r="E87" s="13"/>
      <c r="F87" s="13"/>
      <c r="G87" s="13"/>
      <c r="H87" s="13"/>
      <c r="I87" s="13"/>
      <c r="J87" s="13"/>
      <c r="K87" s="13"/>
      <c r="L87" s="13"/>
      <c r="M87" s="13"/>
      <c r="N87" s="77"/>
      <c r="O87" s="28" t="s">
        <v>1513</v>
      </c>
      <c r="P87" s="942"/>
      <c r="Q87" s="941"/>
      <c r="R87" s="77"/>
      <c r="S87" s="77"/>
      <c r="T87" s="77"/>
      <c r="U87" s="77"/>
      <c r="V87" s="77"/>
      <c r="W87" s="77"/>
      <c r="X87" s="77"/>
      <c r="Y87" s="77"/>
      <c r="Z87" s="77"/>
      <c r="AA87" s="77"/>
      <c r="AB87" s="77"/>
      <c r="AC87" s="77"/>
      <c r="AD87" s="77"/>
      <c r="AE87" s="77"/>
    </row>
    <row r="88" spans="1:31" ht="10.5" customHeight="1">
      <c r="A88" s="77"/>
      <c r="B88" s="74" t="s">
        <v>1456</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82"/>
      <c r="B89" s="4383"/>
      <c r="C89" s="4383"/>
      <c r="D89" s="4383"/>
      <c r="E89" s="4383"/>
      <c r="F89" s="4383"/>
      <c r="G89" s="4383"/>
      <c r="H89" s="4383"/>
      <c r="I89" s="4383"/>
      <c r="J89" s="4383"/>
      <c r="K89" s="4383"/>
      <c r="L89" s="4383"/>
      <c r="M89" s="4383"/>
      <c r="N89" s="4383"/>
      <c r="O89" s="4383"/>
      <c r="P89" s="4383"/>
      <c r="Q89" s="4384"/>
      <c r="R89" s="77"/>
      <c r="S89" s="77"/>
      <c r="T89" s="77"/>
      <c r="U89" s="69"/>
      <c r="V89" s="69"/>
      <c r="W89" s="69"/>
      <c r="X89" s="69"/>
      <c r="Y89" s="69"/>
      <c r="Z89" s="69"/>
      <c r="AA89" s="69"/>
      <c r="AB89" s="69"/>
      <c r="AC89" s="69"/>
      <c r="AD89" s="69"/>
      <c r="AE89" s="69"/>
    </row>
    <row r="90" spans="1:31" ht="11.25" customHeight="1">
      <c r="A90" s="77"/>
      <c r="B90" s="70" t="s">
        <v>1452</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86"/>
      <c r="B91" s="4387"/>
      <c r="C91" s="4387"/>
      <c r="D91" s="4387"/>
      <c r="E91" s="4387"/>
      <c r="F91" s="4387"/>
      <c r="G91" s="4387"/>
      <c r="H91" s="4387"/>
      <c r="I91" s="4387"/>
      <c r="J91" s="4387"/>
      <c r="K91" s="4387"/>
      <c r="L91" s="4387"/>
      <c r="M91" s="4387"/>
      <c r="N91" s="4387"/>
      <c r="O91" s="4387"/>
      <c r="P91" s="4387"/>
      <c r="Q91" s="4388"/>
      <c r="R91" s="77"/>
      <c r="S91" s="77"/>
      <c r="T91" s="77"/>
      <c r="U91" s="77"/>
      <c r="V91" s="77"/>
      <c r="W91" s="77"/>
      <c r="X91" s="77"/>
      <c r="Y91" s="77"/>
      <c r="Z91" s="77"/>
      <c r="AA91" s="77"/>
      <c r="AB91" s="77"/>
      <c r="AC91" s="77"/>
      <c r="AD91" s="77"/>
      <c r="AE91" s="77"/>
    </row>
    <row r="92" spans="1:31" ht="14.1" customHeight="1">
      <c r="A92" s="2521" t="s">
        <v>68</v>
      </c>
      <c r="B92" s="2521" t="s">
        <v>1471</v>
      </c>
      <c r="C92" s="16"/>
      <c r="D92" s="2586"/>
      <c r="E92" s="2586"/>
      <c r="F92" s="2586"/>
      <c r="G92" s="2586"/>
      <c r="H92" s="2586"/>
      <c r="I92" s="2586"/>
      <c r="J92" s="2586"/>
      <c r="K92" s="2586"/>
      <c r="L92" s="2586"/>
      <c r="M92" s="2586"/>
      <c r="N92" s="621" t="s">
        <v>6462</v>
      </c>
      <c r="O92" s="66" t="s">
        <v>1450</v>
      </c>
      <c r="P92" s="4401"/>
      <c r="Q92" s="4390"/>
      <c r="R92" s="623" t="s">
        <v>6463</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185</v>
      </c>
      <c r="B94" s="13" t="s">
        <v>6464</v>
      </c>
      <c r="C94" s="77"/>
      <c r="D94" s="68"/>
      <c r="E94" s="68"/>
      <c r="F94" s="68"/>
      <c r="G94" s="68"/>
      <c r="H94" s="68"/>
      <c r="I94" s="43"/>
      <c r="J94" s="43"/>
      <c r="K94" s="28" t="s">
        <v>185</v>
      </c>
      <c r="L94" s="4523"/>
      <c r="M94" s="4523"/>
      <c r="N94" s="4523"/>
      <c r="O94" s="4523"/>
      <c r="P94" s="4524"/>
      <c r="Q94" s="2907"/>
      <c r="R94" s="77"/>
      <c r="S94" s="77"/>
      <c r="T94" s="77"/>
      <c r="U94" s="77"/>
      <c r="V94" s="77"/>
      <c r="W94" s="77"/>
      <c r="X94" s="77"/>
      <c r="Y94" s="77"/>
      <c r="Z94" s="77"/>
      <c r="AA94" s="77"/>
      <c r="AB94" s="77"/>
      <c r="AC94" s="77"/>
      <c r="AD94" s="77"/>
      <c r="AE94" s="77"/>
    </row>
    <row r="95" spans="1:31" ht="12" customHeight="1">
      <c r="A95" s="77"/>
      <c r="B95" s="25" t="s">
        <v>6465</v>
      </c>
      <c r="C95" s="77"/>
      <c r="D95" s="77"/>
      <c r="E95" s="77"/>
      <c r="F95" s="77"/>
      <c r="G95" s="77"/>
      <c r="H95" s="77"/>
      <c r="I95" s="77"/>
      <c r="J95" s="77"/>
      <c r="K95" s="77"/>
      <c r="L95" s="77"/>
      <c r="M95" s="77"/>
      <c r="N95" s="77"/>
      <c r="O95" s="28" t="s">
        <v>1513</v>
      </c>
      <c r="P95" s="202"/>
      <c r="Q95" s="299"/>
      <c r="R95" s="77"/>
      <c r="S95" s="77"/>
      <c r="T95" s="77"/>
      <c r="U95" s="77"/>
      <c r="V95" s="77"/>
      <c r="W95" s="77"/>
      <c r="X95" s="77"/>
      <c r="Y95" s="77"/>
      <c r="Z95" s="77"/>
      <c r="AA95" s="77"/>
      <c r="AB95" s="77"/>
      <c r="AC95" s="77"/>
      <c r="AD95" s="77"/>
      <c r="AE95" s="77"/>
    </row>
    <row r="96" spans="1:31" ht="12" customHeight="1">
      <c r="A96" s="77"/>
      <c r="B96" s="25" t="s">
        <v>6466</v>
      </c>
      <c r="C96" s="77"/>
      <c r="D96" s="77"/>
      <c r="E96" s="77"/>
      <c r="F96" s="77"/>
      <c r="G96" s="77"/>
      <c r="H96" s="77"/>
      <c r="I96" s="25" t="s">
        <v>6467</v>
      </c>
      <c r="J96" s="77"/>
      <c r="K96" s="2908"/>
      <c r="L96" s="2909"/>
      <c r="M96" s="77"/>
      <c r="N96" s="25" t="s">
        <v>6468</v>
      </c>
      <c r="O96" s="77"/>
      <c r="P96" s="1222"/>
      <c r="Q96" s="1223"/>
      <c r="R96" s="77"/>
      <c r="S96" s="77"/>
      <c r="T96" s="77"/>
      <c r="U96" s="77"/>
      <c r="V96" s="77"/>
      <c r="W96" s="77"/>
      <c r="X96" s="77"/>
      <c r="Y96" s="77"/>
      <c r="Z96" s="77"/>
      <c r="AA96" s="77"/>
      <c r="AB96" s="77"/>
      <c r="AC96" s="77"/>
      <c r="AD96" s="77"/>
      <c r="AE96" s="77"/>
    </row>
    <row r="97" spans="1:17" ht="12" customHeight="1">
      <c r="A97" s="22" t="s">
        <v>197</v>
      </c>
      <c r="B97" s="13" t="s">
        <v>1474</v>
      </c>
      <c r="C97" s="77"/>
      <c r="D97" s="68"/>
      <c r="E97" s="68"/>
      <c r="F97" s="68"/>
      <c r="G97" s="68"/>
      <c r="H97" s="68"/>
      <c r="I97" s="43"/>
      <c r="J97" s="43"/>
      <c r="K97" s="68"/>
      <c r="L97" s="2590"/>
      <c r="M97" s="77"/>
      <c r="N97" s="77"/>
      <c r="O97" s="28" t="s">
        <v>197</v>
      </c>
      <c r="P97" s="2900"/>
      <c r="Q97" s="2901"/>
    </row>
    <row r="98" spans="1:17" ht="12" customHeight="1">
      <c r="A98" s="22" t="s">
        <v>218</v>
      </c>
      <c r="B98" s="13" t="s">
        <v>6469</v>
      </c>
      <c r="C98" s="77"/>
      <c r="D98" s="68"/>
      <c r="E98" s="68"/>
      <c r="F98" s="68"/>
      <c r="G98" s="68"/>
      <c r="H98" s="68"/>
      <c r="I98" s="43"/>
      <c r="J98" s="43"/>
      <c r="K98" s="2590"/>
      <c r="L98" s="2613"/>
      <c r="M98" s="2399"/>
      <c r="N98" s="2399"/>
      <c r="O98" s="1221" t="s">
        <v>218</v>
      </c>
      <c r="P98" s="1220"/>
      <c r="Q98" s="1219"/>
    </row>
    <row r="99" spans="1:17" ht="12" customHeight="1">
      <c r="A99" s="22"/>
      <c r="B99" s="16" t="s">
        <v>1510</v>
      </c>
      <c r="C99" s="13" t="s">
        <v>6470</v>
      </c>
      <c r="D99" s="77"/>
      <c r="E99" s="68"/>
      <c r="F99" s="68"/>
      <c r="G99" s="68"/>
      <c r="H99" s="68"/>
      <c r="I99" s="43"/>
      <c r="J99" s="43"/>
      <c r="K99" s="28" t="s">
        <v>1510</v>
      </c>
      <c r="L99" s="4436"/>
      <c r="M99" s="4436"/>
      <c r="N99" s="4436"/>
      <c r="O99" s="4436"/>
      <c r="P99" s="4437"/>
      <c r="Q99" s="299"/>
    </row>
    <row r="100" spans="1:17" ht="12" customHeight="1">
      <c r="A100" s="72"/>
      <c r="B100" s="16" t="s">
        <v>1513</v>
      </c>
      <c r="C100" s="13" t="s">
        <v>6471</v>
      </c>
      <c r="D100" s="77"/>
      <c r="E100" s="43"/>
      <c r="F100" s="43"/>
      <c r="G100" s="43"/>
      <c r="H100" s="13"/>
      <c r="I100" s="43"/>
      <c r="J100" s="43"/>
      <c r="K100" s="68"/>
      <c r="L100" s="2910"/>
      <c r="M100" s="2910"/>
      <c r="N100" s="2911"/>
      <c r="O100" s="2912" t="s">
        <v>1513</v>
      </c>
      <c r="P100" s="584"/>
      <c r="Q100" s="2604"/>
    </row>
    <row r="101" spans="1:17" ht="12" customHeight="1">
      <c r="A101" s="72"/>
      <c r="B101" s="16" t="s">
        <v>1514</v>
      </c>
      <c r="C101" s="13" t="s">
        <v>6472</v>
      </c>
      <c r="D101" s="77"/>
      <c r="E101" s="43"/>
      <c r="F101" s="43"/>
      <c r="G101" s="43"/>
      <c r="H101" s="13"/>
      <c r="I101" s="43"/>
      <c r="J101" s="43"/>
      <c r="K101" s="68"/>
      <c r="L101" s="2590"/>
      <c r="M101" s="2590"/>
      <c r="N101" s="77"/>
      <c r="O101" s="28" t="s">
        <v>1514</v>
      </c>
      <c r="P101" s="118"/>
      <c r="Q101" s="300"/>
    </row>
    <row r="102" spans="1:17" s="77" customFormat="1" ht="12" customHeight="1">
      <c r="A102" s="22" t="s">
        <v>220</v>
      </c>
      <c r="B102" s="13" t="s">
        <v>6473</v>
      </c>
      <c r="D102" s="68"/>
      <c r="E102" s="68"/>
      <c r="F102" s="68"/>
      <c r="G102" s="68"/>
      <c r="H102" s="68"/>
      <c r="I102" s="43"/>
      <c r="J102" s="43"/>
      <c r="K102" s="68"/>
      <c r="L102" s="2590"/>
      <c r="M102" s="2590"/>
      <c r="N102" s="2590"/>
      <c r="O102" s="28" t="s">
        <v>220</v>
      </c>
    </row>
    <row r="103" spans="1:17" s="77" customFormat="1" ht="12" customHeight="1">
      <c r="A103" s="22"/>
      <c r="B103" s="16" t="s">
        <v>1510</v>
      </c>
      <c r="C103" s="13" t="s">
        <v>6474</v>
      </c>
      <c r="E103" s="68"/>
      <c r="F103" s="68"/>
      <c r="G103" s="68"/>
      <c r="H103" s="68"/>
      <c r="I103" s="43"/>
      <c r="J103" s="43"/>
      <c r="K103" s="68"/>
      <c r="L103" s="2590"/>
      <c r="M103" s="2590"/>
      <c r="O103" s="28" t="s">
        <v>1510</v>
      </c>
      <c r="P103" s="2898"/>
      <c r="Q103" s="2899"/>
    </row>
    <row r="104" spans="1:17" s="77" customFormat="1" ht="12" customHeight="1">
      <c r="A104" s="22"/>
      <c r="B104" s="16" t="s">
        <v>1513</v>
      </c>
      <c r="C104" s="13" t="s">
        <v>6475</v>
      </c>
      <c r="E104" s="68"/>
      <c r="F104" s="68"/>
      <c r="G104" s="68"/>
      <c r="H104" s="43"/>
      <c r="I104" s="43"/>
      <c r="J104" s="43"/>
      <c r="K104" s="68"/>
      <c r="L104" s="2590"/>
      <c r="M104" s="2590"/>
      <c r="O104" s="28" t="s">
        <v>1513</v>
      </c>
      <c r="P104" s="202"/>
      <c r="Q104" s="299"/>
    </row>
    <row r="105" spans="1:17" s="77" customFormat="1" ht="12" customHeight="1">
      <c r="A105" s="22"/>
      <c r="B105" s="16"/>
      <c r="C105" s="13" t="s">
        <v>6476</v>
      </c>
      <c r="E105" s="28" t="s">
        <v>6477</v>
      </c>
      <c r="F105" s="13" t="s">
        <v>6478</v>
      </c>
      <c r="G105" s="43"/>
      <c r="H105" s="13"/>
      <c r="I105" s="43"/>
      <c r="J105" s="43"/>
      <c r="K105" s="68"/>
      <c r="L105" s="2590"/>
      <c r="M105" s="2590"/>
      <c r="O105" s="28" t="s">
        <v>6477</v>
      </c>
      <c r="P105" s="1275"/>
      <c r="Q105" s="1276"/>
    </row>
    <row r="106" spans="1:17" s="77" customFormat="1" ht="12" customHeight="1">
      <c r="A106" s="22"/>
      <c r="B106" s="16"/>
      <c r="E106" s="28" t="s">
        <v>6479</v>
      </c>
      <c r="F106" s="13" t="s">
        <v>6480</v>
      </c>
      <c r="G106" s="43"/>
      <c r="H106" s="13"/>
      <c r="I106" s="43"/>
      <c r="J106" s="43"/>
      <c r="K106" s="68"/>
      <c r="L106" s="2590"/>
      <c r="M106" s="2590"/>
      <c r="O106" s="28" t="s">
        <v>6479</v>
      </c>
      <c r="P106" s="202"/>
      <c r="Q106" s="299"/>
    </row>
    <row r="107" spans="1:17" s="77" customFormat="1" ht="12" customHeight="1">
      <c r="A107" s="22"/>
      <c r="B107" s="16" t="s">
        <v>1514</v>
      </c>
      <c r="C107" s="13" t="s">
        <v>6481</v>
      </c>
      <c r="E107" s="68"/>
      <c r="F107" s="68"/>
      <c r="G107" s="68"/>
      <c r="H107" s="13"/>
      <c r="I107" s="43"/>
      <c r="J107" s="43"/>
      <c r="K107" s="68"/>
      <c r="L107" s="2590"/>
      <c r="M107" s="2590"/>
      <c r="O107" s="28" t="s">
        <v>1514</v>
      </c>
      <c r="P107" s="202"/>
      <c r="Q107" s="299"/>
    </row>
    <row r="108" spans="1:17" s="77" customFormat="1" ht="12" customHeight="1">
      <c r="A108" s="22"/>
      <c r="B108" s="28"/>
      <c r="C108" s="13" t="s">
        <v>6476</v>
      </c>
      <c r="E108" s="28" t="s">
        <v>6477</v>
      </c>
      <c r="F108" s="13" t="s">
        <v>6482</v>
      </c>
      <c r="G108" s="43"/>
      <c r="H108" s="13"/>
      <c r="I108" s="43"/>
      <c r="J108" s="43"/>
      <c r="K108" s="68"/>
      <c r="L108" s="2590"/>
      <c r="O108" s="28" t="s">
        <v>6477</v>
      </c>
      <c r="P108" s="1275"/>
      <c r="Q108" s="1276"/>
    </row>
    <row r="109" spans="1:17" s="77" customFormat="1" ht="12" customHeight="1">
      <c r="A109" s="22"/>
      <c r="B109" s="28"/>
      <c r="E109" s="28" t="s">
        <v>6479</v>
      </c>
      <c r="F109" s="13" t="s">
        <v>6483</v>
      </c>
      <c r="G109" s="43"/>
      <c r="H109" s="13"/>
      <c r="I109" s="43"/>
      <c r="J109" s="43"/>
      <c r="O109" s="28" t="s">
        <v>6479</v>
      </c>
      <c r="P109" s="118"/>
      <c r="Q109" s="300"/>
    </row>
    <row r="110" spans="1:17" ht="12" customHeight="1">
      <c r="A110" s="22" t="s">
        <v>227</v>
      </c>
      <c r="B110" s="16" t="s">
        <v>6484</v>
      </c>
      <c r="C110" s="77"/>
      <c r="D110" s="68"/>
      <c r="E110" s="68"/>
      <c r="F110" s="68"/>
      <c r="G110" s="68"/>
      <c r="H110" s="68"/>
      <c r="I110" s="43"/>
      <c r="J110" s="43"/>
      <c r="K110" s="68"/>
      <c r="L110" s="77"/>
      <c r="M110" s="2590"/>
      <c r="N110" s="2590"/>
      <c r="O110" s="2590"/>
      <c r="P110" s="2590"/>
      <c r="Q110" s="2590"/>
    </row>
    <row r="111" spans="1:17" ht="12" customHeight="1">
      <c r="A111" s="22"/>
      <c r="B111" s="16" t="s">
        <v>1510</v>
      </c>
      <c r="C111" s="13" t="s">
        <v>6481</v>
      </c>
      <c r="D111" s="68"/>
      <c r="E111" s="16"/>
      <c r="F111" s="2898"/>
      <c r="G111" s="2899"/>
      <c r="H111" s="28" t="s">
        <v>6485</v>
      </c>
      <c r="I111" s="13" t="s">
        <v>6486</v>
      </c>
      <c r="J111" s="2898"/>
      <c r="K111" s="2899"/>
      <c r="L111" s="28" t="s">
        <v>6487</v>
      </c>
      <c r="M111" s="73" t="s">
        <v>6488</v>
      </c>
      <c r="N111" s="77"/>
      <c r="O111" s="77"/>
      <c r="P111" s="2898"/>
      <c r="Q111" s="2899"/>
    </row>
    <row r="112" spans="1:17" ht="12.75" customHeight="1">
      <c r="A112" s="77"/>
      <c r="B112" s="16" t="s">
        <v>1513</v>
      </c>
      <c r="C112" s="13" t="s">
        <v>6489</v>
      </c>
      <c r="D112" s="77"/>
      <c r="E112" s="68"/>
      <c r="F112" s="202"/>
      <c r="G112" s="299"/>
      <c r="H112" s="28" t="s">
        <v>6490</v>
      </c>
      <c r="I112" s="13" t="s">
        <v>6491</v>
      </c>
      <c r="J112" s="202"/>
      <c r="K112" s="299"/>
      <c r="L112" s="28" t="s">
        <v>6492</v>
      </c>
      <c r="M112" s="25" t="s">
        <v>6493</v>
      </c>
      <c r="N112" s="77"/>
      <c r="O112" s="2590"/>
      <c r="P112" s="202"/>
      <c r="Q112" s="299"/>
    </row>
    <row r="113" spans="1:31" ht="12" customHeight="1">
      <c r="A113" s="13"/>
      <c r="B113" s="16" t="s">
        <v>1514</v>
      </c>
      <c r="C113" s="13" t="s">
        <v>6494</v>
      </c>
      <c r="D113" s="77"/>
      <c r="E113" s="68"/>
      <c r="F113" s="202"/>
      <c r="G113" s="299"/>
      <c r="H113" s="28" t="s">
        <v>6495</v>
      </c>
      <c r="I113" s="13" t="s">
        <v>6496</v>
      </c>
      <c r="J113" s="202"/>
      <c r="K113" s="299"/>
      <c r="L113" s="28" t="s">
        <v>6497</v>
      </c>
      <c r="M113" s="13" t="s">
        <v>6498</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1515</v>
      </c>
      <c r="C114" s="25" t="s">
        <v>6499</v>
      </c>
      <c r="D114" s="77"/>
      <c r="E114" s="68"/>
      <c r="F114" s="118"/>
      <c r="G114" s="300"/>
      <c r="H114" s="28" t="s">
        <v>6500</v>
      </c>
      <c r="I114" s="25" t="s">
        <v>6501</v>
      </c>
      <c r="J114" s="118"/>
      <c r="K114" s="300"/>
      <c r="L114" s="28" t="s">
        <v>6502</v>
      </c>
      <c r="M114" s="25" t="s">
        <v>6503</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6504</v>
      </c>
      <c r="C115" s="13" t="s">
        <v>6505</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417"/>
      <c r="D116" s="4417"/>
      <c r="E116" s="4417"/>
      <c r="F116" s="4417"/>
      <c r="G116" s="4417"/>
      <c r="H116" s="4417"/>
      <c r="I116" s="4417"/>
      <c r="J116" s="4417"/>
      <c r="K116" s="4417"/>
      <c r="L116" s="4417"/>
      <c r="M116" s="4417"/>
      <c r="N116" s="4417"/>
      <c r="O116" s="4417"/>
      <c r="P116" s="4417"/>
      <c r="Q116" s="4417"/>
      <c r="R116" s="77"/>
      <c r="S116" s="77"/>
      <c r="T116" s="77"/>
      <c r="U116" s="77"/>
      <c r="V116" s="77"/>
      <c r="W116" s="77"/>
      <c r="X116" s="77"/>
      <c r="Y116" s="77"/>
      <c r="Z116" s="77"/>
      <c r="AA116" s="77"/>
      <c r="AB116" s="77"/>
      <c r="AC116" s="77"/>
      <c r="AD116" s="77"/>
      <c r="AE116" s="77"/>
    </row>
    <row r="117" spans="1:31" ht="12" customHeight="1">
      <c r="A117" s="75" t="s">
        <v>229</v>
      </c>
      <c r="B117" s="13" t="s">
        <v>6506</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1510</v>
      </c>
      <c r="C118" s="13" t="s">
        <v>6507</v>
      </c>
      <c r="D118" s="77"/>
      <c r="E118" s="68"/>
      <c r="F118" s="68"/>
      <c r="G118" s="68"/>
      <c r="H118" s="68"/>
      <c r="I118" s="77"/>
      <c r="J118" s="77"/>
      <c r="K118" s="77"/>
      <c r="L118" s="77"/>
      <c r="M118" s="77"/>
      <c r="N118" s="77"/>
      <c r="O118" s="28" t="s">
        <v>6508</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1513</v>
      </c>
      <c r="C119" s="13" t="s">
        <v>6509</v>
      </c>
      <c r="D119" s="77"/>
      <c r="E119" s="13"/>
      <c r="F119" s="13"/>
      <c r="G119" s="13"/>
      <c r="H119" s="13"/>
      <c r="I119" s="43"/>
      <c r="J119" s="43"/>
      <c r="K119" s="13"/>
      <c r="L119" s="13"/>
      <c r="M119" s="13"/>
      <c r="N119" s="77"/>
      <c r="O119" s="28" t="s">
        <v>1513</v>
      </c>
      <c r="P119" s="202"/>
      <c r="Q119" s="299"/>
      <c r="R119" s="77"/>
      <c r="S119" s="77"/>
      <c r="T119" s="77"/>
      <c r="U119" s="77"/>
      <c r="V119" s="77"/>
      <c r="W119" s="77"/>
      <c r="X119" s="77"/>
      <c r="Y119" s="77"/>
      <c r="Z119" s="77"/>
      <c r="AA119" s="77"/>
      <c r="AB119" s="77"/>
      <c r="AC119" s="77"/>
      <c r="AD119" s="77"/>
      <c r="AE119" s="77"/>
    </row>
    <row r="120" spans="1:31" ht="12.75" customHeight="1">
      <c r="A120" s="2596"/>
      <c r="B120" s="16" t="s">
        <v>1514</v>
      </c>
      <c r="C120" s="13" t="s">
        <v>6510</v>
      </c>
      <c r="D120" s="77"/>
      <c r="E120" s="13"/>
      <c r="F120" s="13"/>
      <c r="G120" s="13"/>
      <c r="H120" s="13"/>
      <c r="I120" s="43"/>
      <c r="J120" s="43"/>
      <c r="K120" s="13"/>
      <c r="L120" s="13"/>
      <c r="M120" s="13"/>
      <c r="N120" s="77"/>
      <c r="O120" s="28" t="s">
        <v>1514</v>
      </c>
      <c r="P120" s="202"/>
      <c r="Q120" s="299"/>
      <c r="R120" s="77"/>
      <c r="S120" s="77"/>
      <c r="T120" s="77"/>
      <c r="U120" s="77"/>
      <c r="V120" s="77"/>
      <c r="W120" s="77"/>
      <c r="X120" s="77"/>
      <c r="Y120" s="77"/>
      <c r="Z120" s="77"/>
      <c r="AA120" s="77"/>
      <c r="AB120" s="77"/>
      <c r="AC120" s="77"/>
      <c r="AD120" s="77"/>
      <c r="AE120" s="77"/>
    </row>
    <row r="121" spans="1:31" ht="12.75" customHeight="1">
      <c r="A121" s="2596"/>
      <c r="B121" s="16" t="s">
        <v>1515</v>
      </c>
      <c r="C121" s="13" t="s">
        <v>6511</v>
      </c>
      <c r="D121" s="77"/>
      <c r="E121" s="13"/>
      <c r="F121" s="13"/>
      <c r="G121" s="13"/>
      <c r="H121" s="13"/>
      <c r="I121" s="43"/>
      <c r="J121" s="43"/>
      <c r="K121" s="13"/>
      <c r="L121" s="13"/>
      <c r="M121" s="13"/>
      <c r="N121" s="77"/>
      <c r="O121" s="28" t="s">
        <v>1515</v>
      </c>
      <c r="P121" s="118"/>
      <c r="Q121" s="300"/>
      <c r="R121" s="77"/>
      <c r="S121" s="77"/>
      <c r="T121" s="77"/>
      <c r="U121" s="77"/>
      <c r="V121" s="77"/>
      <c r="W121" s="77"/>
      <c r="X121" s="77"/>
      <c r="Y121" s="77"/>
      <c r="Z121" s="77"/>
      <c r="AA121" s="77"/>
      <c r="AB121" s="77"/>
      <c r="AC121" s="77"/>
      <c r="AD121" s="77"/>
      <c r="AE121" s="77"/>
    </row>
    <row r="122" spans="1:31" ht="12" customHeight="1">
      <c r="A122" s="39" t="s">
        <v>6512</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6446</v>
      </c>
      <c r="B123" s="4385" t="s">
        <v>6513</v>
      </c>
      <c r="C123" s="4385"/>
      <c r="D123" s="4385"/>
      <c r="E123" s="4385"/>
      <c r="F123" s="4385"/>
      <c r="G123" s="4385"/>
      <c r="H123" s="4385"/>
      <c r="I123" s="4385"/>
      <c r="J123" s="4385"/>
      <c r="K123" s="4385"/>
      <c r="L123" s="4385"/>
      <c r="M123" s="84" t="s">
        <v>6446</v>
      </c>
      <c r="N123" s="4397" t="s">
        <v>720</v>
      </c>
      <c r="O123" s="4398"/>
      <c r="P123" s="4399" t="s">
        <v>720</v>
      </c>
      <c r="Q123" s="4400"/>
      <c r="R123" s="43"/>
      <c r="S123" s="43"/>
      <c r="T123" s="43"/>
      <c r="U123" s="43"/>
      <c r="V123" s="43"/>
      <c r="W123" s="43"/>
      <c r="X123" s="43"/>
      <c r="Y123" s="43"/>
      <c r="Z123" s="43"/>
      <c r="AA123" s="43"/>
      <c r="AB123" s="43"/>
      <c r="AC123" s="43"/>
      <c r="AD123" s="43"/>
      <c r="AE123" s="43"/>
    </row>
    <row r="124" spans="1:31" ht="11.25" customHeight="1">
      <c r="A124" s="77"/>
      <c r="B124" s="74" t="s">
        <v>1456</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82"/>
      <c r="B125" s="4383"/>
      <c r="C125" s="4383"/>
      <c r="D125" s="4383"/>
      <c r="E125" s="4383"/>
      <c r="F125" s="4383"/>
      <c r="G125" s="4383"/>
      <c r="H125" s="4383"/>
      <c r="I125" s="4383"/>
      <c r="J125" s="4383"/>
      <c r="K125" s="4383"/>
      <c r="L125" s="4383"/>
      <c r="M125" s="4383"/>
      <c r="N125" s="4383"/>
      <c r="O125" s="4383"/>
      <c r="P125" s="4383"/>
      <c r="Q125" s="4384"/>
      <c r="R125" s="249" t="s">
        <v>6410</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1452</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86"/>
      <c r="B128" s="4387"/>
      <c r="C128" s="4387"/>
      <c r="D128" s="4387"/>
      <c r="E128" s="4387"/>
      <c r="F128" s="4387"/>
      <c r="G128" s="4387"/>
      <c r="H128" s="4387"/>
      <c r="I128" s="4387"/>
      <c r="J128" s="4387"/>
      <c r="K128" s="4387"/>
      <c r="L128" s="4387"/>
      <c r="M128" s="4387"/>
      <c r="N128" s="4387"/>
      <c r="O128" s="4387"/>
      <c r="P128" s="4387"/>
      <c r="Q128" s="4388"/>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 customHeight="1">
      <c r="A130" s="2521" t="s">
        <v>1481</v>
      </c>
      <c r="B130" s="2521" t="s">
        <v>1482</v>
      </c>
      <c r="C130" s="2521"/>
      <c r="D130" s="2586"/>
      <c r="E130" s="2586"/>
      <c r="F130" s="2586"/>
      <c r="G130" s="2586"/>
      <c r="H130" s="2586"/>
      <c r="I130" s="2586"/>
      <c r="J130" s="2586"/>
      <c r="K130" s="2586"/>
      <c r="L130" s="77"/>
      <c r="M130" s="77"/>
      <c r="N130" s="621" t="s">
        <v>6462</v>
      </c>
      <c r="O130" s="66" t="s">
        <v>1450</v>
      </c>
      <c r="P130" s="4401"/>
      <c r="Q130" s="4390"/>
      <c r="R130" s="623" t="s">
        <v>6463</v>
      </c>
      <c r="S130" s="77"/>
      <c r="T130" s="77"/>
      <c r="U130" s="77"/>
      <c r="V130" s="77"/>
      <c r="W130" s="77"/>
      <c r="X130" s="77"/>
      <c r="Y130" s="77"/>
      <c r="Z130" s="77"/>
      <c r="AA130" s="77"/>
      <c r="AB130" s="77"/>
      <c r="AC130" s="77"/>
      <c r="AD130" s="77"/>
      <c r="AE130" s="77"/>
    </row>
    <row r="131" spans="1:31" ht="12" customHeight="1">
      <c r="A131" s="22" t="s">
        <v>185</v>
      </c>
      <c r="B131" s="16" t="s">
        <v>1510</v>
      </c>
      <c r="C131" s="13" t="s">
        <v>6514</v>
      </c>
      <c r="D131" s="13"/>
      <c r="E131" s="13"/>
      <c r="F131" s="13"/>
      <c r="G131" s="13"/>
      <c r="H131" s="77"/>
      <c r="I131" s="77"/>
      <c r="J131" s="77"/>
      <c r="K131" s="13" t="s">
        <v>6515</v>
      </c>
      <c r="L131" s="77"/>
      <c r="M131" s="4424"/>
      <c r="N131" s="4425"/>
      <c r="O131" s="28" t="s">
        <v>1510</v>
      </c>
      <c r="P131" s="2900"/>
      <c r="Q131" s="2901"/>
      <c r="R131" s="77"/>
      <c r="S131" s="77"/>
      <c r="T131" s="77"/>
      <c r="U131" s="77"/>
      <c r="V131" s="77"/>
      <c r="W131" s="77"/>
      <c r="X131" s="77"/>
      <c r="Y131" s="77"/>
      <c r="Z131" s="77"/>
      <c r="AA131" s="77"/>
      <c r="AB131" s="77"/>
      <c r="AC131" s="77"/>
      <c r="AD131" s="77"/>
      <c r="AE131" s="77"/>
    </row>
    <row r="132" spans="1:31" ht="12" customHeight="1">
      <c r="A132" s="22"/>
      <c r="B132" s="16" t="s">
        <v>1513</v>
      </c>
      <c r="C132" s="13" t="s">
        <v>6516</v>
      </c>
      <c r="D132" s="13"/>
      <c r="E132" s="13"/>
      <c r="F132" s="13"/>
      <c r="G132" s="13"/>
      <c r="H132" s="77"/>
      <c r="I132" s="77"/>
      <c r="J132" s="77"/>
      <c r="K132" s="13" t="s">
        <v>6515</v>
      </c>
      <c r="L132" s="77"/>
      <c r="M132" s="4424"/>
      <c r="N132" s="4425"/>
      <c r="O132" s="28" t="s">
        <v>1513</v>
      </c>
      <c r="P132" s="2900"/>
      <c r="Q132" s="2901"/>
      <c r="R132" s="77"/>
      <c r="S132" s="77"/>
      <c r="T132" s="77"/>
      <c r="U132" s="77"/>
      <c r="V132" s="77"/>
      <c r="W132" s="77"/>
      <c r="X132" s="77"/>
      <c r="Y132" s="77"/>
      <c r="Z132" s="77"/>
      <c r="AA132" s="77"/>
      <c r="AB132" s="77"/>
      <c r="AC132" s="77"/>
      <c r="AD132" s="77"/>
      <c r="AE132" s="77"/>
    </row>
    <row r="133" spans="1:31" ht="12" customHeight="1">
      <c r="A133" s="22" t="s">
        <v>197</v>
      </c>
      <c r="B133" s="73" t="s">
        <v>1483</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197</v>
      </c>
      <c r="M133" s="4472" t="s">
        <v>6517</v>
      </c>
      <c r="N133" s="4473"/>
      <c r="O133" s="77"/>
      <c r="P133" s="4474" t="s">
        <v>720</v>
      </c>
      <c r="Q133" s="4475"/>
      <c r="R133" s="77"/>
      <c r="S133" s="77"/>
      <c r="T133" s="77"/>
      <c r="U133" s="77"/>
      <c r="V133" s="77"/>
      <c r="W133" s="77"/>
      <c r="X133" s="77"/>
      <c r="Y133" s="77"/>
      <c r="Z133" s="77"/>
      <c r="AA133" s="77"/>
      <c r="AB133" s="77"/>
      <c r="AC133" s="77"/>
      <c r="AD133" s="77"/>
      <c r="AE133" s="77"/>
    </row>
    <row r="134" spans="1:31" ht="12" customHeight="1">
      <c r="A134" s="22" t="s">
        <v>218</v>
      </c>
      <c r="B134" s="73" t="s">
        <v>1484</v>
      </c>
      <c r="C134" s="77"/>
      <c r="D134" s="73"/>
      <c r="E134" s="73"/>
      <c r="F134" s="73"/>
      <c r="G134" s="73"/>
      <c r="H134" s="73"/>
      <c r="I134" s="77"/>
      <c r="J134" s="28" t="s">
        <v>218</v>
      </c>
      <c r="K134" s="4445"/>
      <c r="L134" s="4446"/>
      <c r="M134" s="4446"/>
      <c r="N134" s="4446"/>
      <c r="O134" s="4446"/>
      <c r="P134" s="4447"/>
      <c r="Q134" s="2901"/>
      <c r="R134" s="77"/>
      <c r="S134" s="77"/>
      <c r="T134" s="77"/>
      <c r="U134" s="77"/>
      <c r="V134" s="77"/>
      <c r="W134" s="77"/>
      <c r="X134" s="77"/>
      <c r="Y134" s="77"/>
      <c r="Z134" s="77"/>
      <c r="AA134" s="77"/>
      <c r="AB134" s="77"/>
      <c r="AC134" s="77"/>
      <c r="AD134" s="77"/>
      <c r="AE134" s="77"/>
    </row>
    <row r="135" spans="1:31" ht="21.75" customHeight="1">
      <c r="A135" s="75" t="s">
        <v>220</v>
      </c>
      <c r="B135" s="4385" t="s">
        <v>6518</v>
      </c>
      <c r="C135" s="4385"/>
      <c r="D135" s="4385"/>
      <c r="E135" s="4385"/>
      <c r="F135" s="4385"/>
      <c r="G135" s="4385"/>
      <c r="H135" s="4385"/>
      <c r="I135" s="4385"/>
      <c r="J135" s="4385"/>
      <c r="K135" s="4385"/>
      <c r="L135" s="4385"/>
      <c r="M135" s="4385"/>
      <c r="N135" s="4385"/>
      <c r="O135" s="84" t="s">
        <v>220</v>
      </c>
      <c r="P135" s="2595"/>
      <c r="Q135" s="2593"/>
      <c r="R135" s="77"/>
      <c r="S135" s="77"/>
      <c r="T135" s="77"/>
      <c r="U135" s="77"/>
      <c r="V135" s="77"/>
      <c r="W135" s="77"/>
      <c r="X135" s="77"/>
      <c r="Y135" s="77"/>
      <c r="Z135" s="77"/>
      <c r="AA135" s="77"/>
      <c r="AB135" s="77"/>
      <c r="AC135" s="77"/>
      <c r="AD135" s="77"/>
      <c r="AE135" s="77"/>
    </row>
    <row r="136" spans="1:31" ht="12" customHeight="1">
      <c r="A136" s="77"/>
      <c r="B136" s="74" t="s">
        <v>1456</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85" customHeight="1">
      <c r="A137" s="4382"/>
      <c r="B137" s="4383"/>
      <c r="C137" s="4383"/>
      <c r="D137" s="4383"/>
      <c r="E137" s="4383"/>
      <c r="F137" s="4383"/>
      <c r="G137" s="4383"/>
      <c r="H137" s="4383"/>
      <c r="I137" s="4383"/>
      <c r="J137" s="4383"/>
      <c r="K137" s="4383"/>
      <c r="L137" s="4383"/>
      <c r="M137" s="4383"/>
      <c r="N137" s="4383"/>
      <c r="O137" s="4383"/>
      <c r="P137" s="4383"/>
      <c r="Q137" s="4384"/>
      <c r="R137" s="77"/>
      <c r="S137" s="77"/>
      <c r="T137" s="77"/>
      <c r="U137" s="69"/>
      <c r="V137" s="69"/>
      <c r="W137" s="69"/>
      <c r="X137" s="69"/>
      <c r="Y137" s="69"/>
      <c r="Z137" s="69"/>
      <c r="AA137" s="69"/>
      <c r="AB137" s="69"/>
      <c r="AC137" s="69"/>
      <c r="AD137" s="69"/>
      <c r="AE137" s="69"/>
    </row>
    <row r="138" spans="1:31" ht="12" customHeight="1">
      <c r="A138" s="77"/>
      <c r="B138" s="70" t="s">
        <v>1452</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85" customHeight="1">
      <c r="A139" s="4386"/>
      <c r="B139" s="4387"/>
      <c r="C139" s="4387"/>
      <c r="D139" s="4387"/>
      <c r="E139" s="4387"/>
      <c r="F139" s="4387"/>
      <c r="G139" s="4387"/>
      <c r="H139" s="4387"/>
      <c r="I139" s="4387"/>
      <c r="J139" s="4387"/>
      <c r="K139" s="4387"/>
      <c r="L139" s="4387"/>
      <c r="M139" s="4387"/>
      <c r="N139" s="4387"/>
      <c r="O139" s="4387"/>
      <c r="P139" s="4387"/>
      <c r="Q139" s="4388"/>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 customHeight="1">
      <c r="A141" s="2521" t="s">
        <v>1485</v>
      </c>
      <c r="B141" s="2521" t="s">
        <v>1486</v>
      </c>
      <c r="C141" s="2521"/>
      <c r="D141" s="2586"/>
      <c r="E141" s="2586"/>
      <c r="F141" s="2586"/>
      <c r="G141" s="2586"/>
      <c r="H141" s="2586"/>
      <c r="I141" s="2586"/>
      <c r="J141" s="2586"/>
      <c r="K141" s="2586"/>
      <c r="L141" s="2586"/>
      <c r="M141" s="2586"/>
      <c r="N141" s="77"/>
      <c r="O141" s="66" t="s">
        <v>1450</v>
      </c>
      <c r="P141" s="4401"/>
      <c r="Q141" s="4390"/>
      <c r="R141" s="77"/>
      <c r="S141" s="77"/>
      <c r="T141" s="77"/>
      <c r="U141" s="77"/>
      <c r="V141" s="77"/>
      <c r="W141" s="77"/>
      <c r="X141" s="77"/>
      <c r="Y141" s="77"/>
      <c r="Z141" s="77"/>
      <c r="AA141" s="77"/>
      <c r="AB141" s="77"/>
      <c r="AC141" s="77"/>
      <c r="AD141" s="77"/>
      <c r="AE141" s="77"/>
    </row>
    <row r="142" spans="1:31" ht="21.75" customHeight="1">
      <c r="A142" s="75" t="s">
        <v>185</v>
      </c>
      <c r="B142" s="4385" t="s">
        <v>6519</v>
      </c>
      <c r="C142" s="4385"/>
      <c r="D142" s="4385"/>
      <c r="E142" s="4385"/>
      <c r="F142" s="4385"/>
      <c r="G142" s="4385"/>
      <c r="H142" s="4385"/>
      <c r="I142" s="4385"/>
      <c r="J142" s="4385"/>
      <c r="K142" s="4385"/>
      <c r="L142" s="4385"/>
      <c r="M142" s="4385"/>
      <c r="N142" s="4385"/>
      <c r="O142" s="84" t="s">
        <v>185</v>
      </c>
      <c r="P142" s="2913"/>
      <c r="Q142" s="2914"/>
      <c r="R142" s="77"/>
      <c r="S142" s="77"/>
      <c r="T142" s="77"/>
      <c r="U142" s="77"/>
      <c r="V142" s="77"/>
      <c r="W142" s="77"/>
      <c r="X142" s="77"/>
      <c r="Y142" s="77"/>
      <c r="Z142" s="77"/>
      <c r="AA142" s="77"/>
      <c r="AB142" s="77"/>
      <c r="AC142" s="77"/>
      <c r="AD142" s="77"/>
      <c r="AE142" s="77"/>
    </row>
    <row r="143" spans="1:31" ht="22.35" customHeight="1">
      <c r="A143" s="75" t="s">
        <v>197</v>
      </c>
      <c r="B143" s="4385" t="s">
        <v>6520</v>
      </c>
      <c r="C143" s="4385"/>
      <c r="D143" s="4385"/>
      <c r="E143" s="4385"/>
      <c r="F143" s="4385"/>
      <c r="G143" s="4385"/>
      <c r="H143" s="4385"/>
      <c r="I143" s="4385"/>
      <c r="J143" s="4385"/>
      <c r="K143" s="4385"/>
      <c r="L143" s="4385"/>
      <c r="M143" s="4385"/>
      <c r="N143" s="4385"/>
      <c r="O143" s="84" t="s">
        <v>197</v>
      </c>
      <c r="P143" s="2594"/>
      <c r="Q143" s="2592"/>
      <c r="R143" s="77"/>
      <c r="S143" s="77"/>
      <c r="T143" s="77"/>
      <c r="U143" s="77"/>
      <c r="V143" s="77"/>
      <c r="W143" s="77"/>
      <c r="X143" s="77"/>
      <c r="Y143" s="77"/>
      <c r="Z143" s="77"/>
      <c r="AA143" s="77"/>
      <c r="AB143" s="77"/>
      <c r="AC143" s="77"/>
      <c r="AD143" s="77"/>
      <c r="AE143" s="77"/>
    </row>
    <row r="144" spans="1:31" ht="22.35" customHeight="1">
      <c r="A144" s="75" t="s">
        <v>218</v>
      </c>
      <c r="B144" s="4385" t="s">
        <v>6521</v>
      </c>
      <c r="C144" s="4385"/>
      <c r="D144" s="4385"/>
      <c r="E144" s="4385"/>
      <c r="F144" s="4385"/>
      <c r="G144" s="4385"/>
      <c r="H144" s="4385"/>
      <c r="I144" s="4385"/>
      <c r="J144" s="4385"/>
      <c r="K144" s="4385"/>
      <c r="L144" s="4385"/>
      <c r="M144" s="4385"/>
      <c r="N144" s="4385"/>
      <c r="O144" s="84" t="s">
        <v>218</v>
      </c>
      <c r="P144" s="2594"/>
      <c r="Q144" s="2592"/>
      <c r="R144" s="77"/>
      <c r="S144" s="77"/>
      <c r="T144" s="77"/>
      <c r="U144" s="77"/>
      <c r="V144" s="77"/>
      <c r="W144" s="77"/>
      <c r="X144" s="77"/>
      <c r="Y144" s="77"/>
      <c r="Z144" s="77"/>
      <c r="AA144" s="77"/>
      <c r="AB144" s="77"/>
      <c r="AC144" s="77"/>
      <c r="AD144" s="77"/>
      <c r="AE144" s="77"/>
    </row>
    <row r="145" spans="1:44" ht="21.75" customHeight="1">
      <c r="A145" s="75" t="s">
        <v>220</v>
      </c>
      <c r="B145" s="4385" t="s">
        <v>6522</v>
      </c>
      <c r="C145" s="4385"/>
      <c r="D145" s="4385"/>
      <c r="E145" s="4385"/>
      <c r="F145" s="4385"/>
      <c r="G145" s="4385"/>
      <c r="H145" s="4385"/>
      <c r="I145" s="4385"/>
      <c r="J145" s="4385"/>
      <c r="K145" s="4385"/>
      <c r="L145" s="4385"/>
      <c r="M145" s="4385"/>
      <c r="N145" s="4385"/>
      <c r="O145" s="84" t="s">
        <v>220</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1456</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85" customHeight="1">
      <c r="A147" s="4382"/>
      <c r="B147" s="4383"/>
      <c r="C147" s="4383"/>
      <c r="D147" s="4383"/>
      <c r="E147" s="4383"/>
      <c r="F147" s="4383"/>
      <c r="G147" s="4383"/>
      <c r="H147" s="4383"/>
      <c r="I147" s="4383"/>
      <c r="J147" s="4383"/>
      <c r="K147" s="4383"/>
      <c r="L147" s="4383"/>
      <c r="M147" s="4383"/>
      <c r="N147" s="4383"/>
      <c r="O147" s="4383"/>
      <c r="P147" s="4383"/>
      <c r="Q147" s="4384"/>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1452</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85" customHeight="1">
      <c r="A149" s="4386"/>
      <c r="B149" s="4387"/>
      <c r="C149" s="4387"/>
      <c r="D149" s="4387"/>
      <c r="E149" s="4387"/>
      <c r="F149" s="4387"/>
      <c r="G149" s="4387"/>
      <c r="H149" s="4387"/>
      <c r="I149" s="4387"/>
      <c r="J149" s="4387"/>
      <c r="K149" s="4387"/>
      <c r="L149" s="4387"/>
      <c r="M149" s="4387"/>
      <c r="N149" s="4387"/>
      <c r="O149" s="4387"/>
      <c r="P149" s="4387"/>
      <c r="Q149" s="4388"/>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20" t="s">
        <v>1487</v>
      </c>
      <c r="B151" s="3583" t="s">
        <v>1488</v>
      </c>
      <c r="C151" s="3583"/>
      <c r="D151" s="3583"/>
      <c r="E151" s="146"/>
      <c r="F151" s="77"/>
      <c r="G151" s="77"/>
      <c r="H151" s="77"/>
      <c r="I151" s="77"/>
      <c r="J151" s="77"/>
      <c r="K151" s="77"/>
      <c r="L151" s="77"/>
      <c r="M151" s="77"/>
      <c r="N151" s="621" t="s">
        <v>6462</v>
      </c>
      <c r="O151" s="66" t="s">
        <v>1450</v>
      </c>
      <c r="P151" s="4401"/>
      <c r="Q151" s="4390"/>
      <c r="R151" s="623" t="s">
        <v>6463</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85" customHeight="1">
      <c r="B152" s="25" t="s">
        <v>6523</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185</v>
      </c>
      <c r="B153" s="265" t="s">
        <v>6524</v>
      </c>
      <c r="C153" s="77"/>
      <c r="D153" s="265"/>
      <c r="E153" s="265"/>
      <c r="F153" s="265"/>
      <c r="G153" s="265"/>
      <c r="H153" s="265"/>
      <c r="I153" s="265"/>
      <c r="J153" s="265"/>
      <c r="K153" s="265"/>
      <c r="L153" s="265"/>
      <c r="M153" s="265"/>
      <c r="N153" s="77"/>
      <c r="O153" s="84" t="s">
        <v>185</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197</v>
      </c>
      <c r="B154" s="265" t="s">
        <v>6525</v>
      </c>
      <c r="C154" s="77"/>
      <c r="D154" s="265"/>
      <c r="E154" s="265"/>
      <c r="F154" s="265"/>
      <c r="G154" s="265"/>
      <c r="H154" s="265"/>
      <c r="I154" s="265"/>
      <c r="J154" s="265"/>
      <c r="K154" s="265"/>
      <c r="L154" s="265"/>
      <c r="M154" s="265"/>
      <c r="N154" s="77"/>
      <c r="O154" s="84" t="s">
        <v>197</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218</v>
      </c>
      <c r="B155" s="265" t="s">
        <v>6526</v>
      </c>
      <c r="C155" s="77"/>
      <c r="D155" s="265"/>
      <c r="E155" s="265"/>
      <c r="F155" s="265"/>
      <c r="G155" s="265"/>
      <c r="H155" s="265"/>
      <c r="I155" s="265"/>
      <c r="J155" s="73" t="s">
        <v>6527</v>
      </c>
      <c r="K155" s="77"/>
      <c r="L155" s="265"/>
      <c r="M155" s="265"/>
      <c r="N155" s="77"/>
      <c r="O155" s="84" t="s">
        <v>218</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1510</v>
      </c>
      <c r="C156" s="16" t="s">
        <v>6528</v>
      </c>
      <c r="D156" s="77"/>
      <c r="E156" s="77"/>
      <c r="F156" s="77"/>
      <c r="G156" s="265"/>
      <c r="H156" s="265"/>
      <c r="I156" s="77"/>
      <c r="J156" s="265"/>
      <c r="K156" s="265"/>
      <c r="L156" s="265"/>
      <c r="M156" s="265"/>
      <c r="N156" s="77"/>
      <c r="O156" s="246" t="s">
        <v>1510</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1513</v>
      </c>
      <c r="C157" s="16" t="s">
        <v>6529</v>
      </c>
      <c r="D157" s="77"/>
      <c r="E157" s="77"/>
      <c r="F157" s="77"/>
      <c r="G157" s="265"/>
      <c r="H157" s="265"/>
      <c r="I157" s="265"/>
      <c r="J157" s="265"/>
      <c r="K157" s="265"/>
      <c r="L157" s="265"/>
      <c r="M157" s="265"/>
      <c r="N157" s="77"/>
      <c r="O157" s="246" t="s">
        <v>1513</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1514</v>
      </c>
      <c r="C158" s="4385" t="s">
        <v>6530</v>
      </c>
      <c r="D158" s="4385"/>
      <c r="E158" s="4385"/>
      <c r="F158" s="4385"/>
      <c r="G158" s="4385"/>
      <c r="H158" s="4385"/>
      <c r="I158" s="4385"/>
      <c r="J158" s="4385"/>
      <c r="K158" s="4385"/>
      <c r="L158" s="4385"/>
      <c r="M158" s="4385"/>
      <c r="N158" s="4385"/>
      <c r="O158" s="84" t="s">
        <v>1514</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1515</v>
      </c>
      <c r="C159" s="16" t="s">
        <v>6531</v>
      </c>
      <c r="D159" s="77"/>
      <c r="E159" s="77"/>
      <c r="F159" s="77"/>
      <c r="G159" s="265"/>
      <c r="H159" s="265"/>
      <c r="I159" s="265"/>
      <c r="J159" s="265"/>
      <c r="K159" s="265"/>
      <c r="L159" s="265"/>
      <c r="M159" s="265"/>
      <c r="N159" s="77"/>
      <c r="O159" s="246" t="s">
        <v>1515</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4562</v>
      </c>
      <c r="C160" s="4385" t="s">
        <v>6532</v>
      </c>
      <c r="D160" s="4385"/>
      <c r="E160" s="4385"/>
      <c r="F160" s="4385"/>
      <c r="G160" s="4385"/>
      <c r="H160" s="4385"/>
      <c r="I160" s="4385"/>
      <c r="J160" s="4385"/>
      <c r="K160" s="4385"/>
      <c r="L160" s="4385"/>
      <c r="M160" s="4385"/>
      <c r="N160" s="4385"/>
      <c r="O160" s="84" t="s">
        <v>4562</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4564</v>
      </c>
      <c r="C161" s="4385" t="s">
        <v>6533</v>
      </c>
      <c r="D161" s="4385"/>
      <c r="E161" s="4385"/>
      <c r="F161" s="4385"/>
      <c r="G161" s="4385"/>
      <c r="H161" s="4385"/>
      <c r="I161" s="4385"/>
      <c r="J161" s="4385"/>
      <c r="K161" s="4385"/>
      <c r="L161" s="4385"/>
      <c r="M161" s="4385"/>
      <c r="N161" s="4385"/>
      <c r="O161" s="84" t="s">
        <v>4564</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220</v>
      </c>
      <c r="B162" s="4385" t="s">
        <v>6534</v>
      </c>
      <c r="C162" s="4385"/>
      <c r="D162" s="4385"/>
      <c r="E162" s="4385"/>
      <c r="F162" s="4385"/>
      <c r="G162" s="4385"/>
      <c r="H162" s="4385"/>
      <c r="I162" s="4385"/>
      <c r="J162" s="4385"/>
      <c r="K162" s="4385"/>
      <c r="L162" s="4385"/>
      <c r="M162" s="4385"/>
      <c r="N162" s="4385"/>
      <c r="O162" s="84" t="s">
        <v>220</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227</v>
      </c>
      <c r="B163" s="265" t="s">
        <v>6535</v>
      </c>
      <c r="C163" s="77"/>
      <c r="D163" s="265"/>
      <c r="E163" s="265"/>
      <c r="F163" s="265"/>
      <c r="G163" s="265"/>
      <c r="H163" s="265"/>
      <c r="I163" s="265"/>
      <c r="J163" s="265"/>
      <c r="K163" s="265"/>
      <c r="L163" s="265"/>
      <c r="M163" s="265"/>
      <c r="N163" s="77"/>
      <c r="O163" s="84" t="s">
        <v>227</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1456</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85" customHeight="1">
      <c r="A165" s="4382"/>
      <c r="B165" s="4383"/>
      <c r="C165" s="4383"/>
      <c r="D165" s="4383"/>
      <c r="E165" s="4383"/>
      <c r="F165" s="4383"/>
      <c r="G165" s="4383"/>
      <c r="H165" s="4383"/>
      <c r="I165" s="4383"/>
      <c r="J165" s="4383"/>
      <c r="K165" s="4383"/>
      <c r="L165" s="4383"/>
      <c r="M165" s="4383"/>
      <c r="N165" s="4383"/>
      <c r="O165" s="4383"/>
      <c r="P165" s="4383"/>
      <c r="Q165" s="4384"/>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1452</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85" customHeight="1">
      <c r="A167" s="4386"/>
      <c r="B167" s="4387"/>
      <c r="C167" s="4387"/>
      <c r="D167" s="4387"/>
      <c r="E167" s="4387"/>
      <c r="F167" s="4387"/>
      <c r="G167" s="4387"/>
      <c r="H167" s="4387"/>
      <c r="I167" s="4387"/>
      <c r="J167" s="4387"/>
      <c r="K167" s="4387"/>
      <c r="L167" s="4387"/>
      <c r="M167" s="4387"/>
      <c r="N167" s="4387"/>
      <c r="O167" s="4387"/>
      <c r="P167" s="4387"/>
      <c r="Q167" s="4388"/>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21" t="s">
        <v>1489</v>
      </c>
      <c r="B169" s="2521" t="s">
        <v>1490</v>
      </c>
      <c r="C169" s="2521"/>
      <c r="D169" s="2586"/>
      <c r="E169" s="2538"/>
      <c r="F169" s="146"/>
      <c r="G169" s="2586"/>
      <c r="H169" s="77"/>
      <c r="I169" s="77"/>
      <c r="J169" s="329"/>
      <c r="K169" s="329"/>
      <c r="L169" s="329"/>
      <c r="M169" s="329"/>
      <c r="N169" s="621" t="s">
        <v>6462</v>
      </c>
      <c r="O169" s="66" t="s">
        <v>1450</v>
      </c>
      <c r="P169" s="4401"/>
      <c r="Q169" s="4390"/>
      <c r="R169" s="623" t="s">
        <v>6463</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6523</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6536</v>
      </c>
      <c r="C171" s="77"/>
      <c r="D171" s="73"/>
      <c r="E171" s="73"/>
      <c r="F171" s="73"/>
      <c r="G171" s="73"/>
      <c r="H171" s="28" t="s">
        <v>1510</v>
      </c>
      <c r="I171" s="13" t="s">
        <v>785</v>
      </c>
      <c r="J171" s="4394" t="s">
        <v>1493</v>
      </c>
      <c r="K171" s="4395"/>
      <c r="L171" s="4395"/>
      <c r="M171" s="4395"/>
      <c r="N171" s="4396"/>
      <c r="O171" s="28" t="s">
        <v>1510</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1456</v>
      </c>
      <c r="C172" s="49"/>
      <c r="D172" s="49"/>
      <c r="E172" s="49"/>
      <c r="F172" s="49"/>
      <c r="G172" s="77"/>
      <c r="H172" s="28" t="s">
        <v>1513</v>
      </c>
      <c r="I172" s="13" t="s">
        <v>776</v>
      </c>
      <c r="J172" s="4391" t="s">
        <v>1493</v>
      </c>
      <c r="K172" s="4392"/>
      <c r="L172" s="4392"/>
      <c r="M172" s="4392"/>
      <c r="N172" s="4393"/>
      <c r="O172" s="28" t="s">
        <v>1513</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82"/>
      <c r="B173" s="4383"/>
      <c r="C173" s="4383"/>
      <c r="D173" s="4383"/>
      <c r="E173" s="4383"/>
      <c r="F173" s="4383"/>
      <c r="G173" s="4383"/>
      <c r="H173" s="4383"/>
      <c r="I173" s="4383"/>
      <c r="J173" s="4383"/>
      <c r="K173" s="4383"/>
      <c r="L173" s="4383"/>
      <c r="M173" s="4383"/>
      <c r="N173" s="4383"/>
      <c r="O173" s="4383"/>
      <c r="P173" s="4383"/>
      <c r="Q173" s="4384"/>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1452</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6"/>
      <c r="B175" s="4387"/>
      <c r="C175" s="4387"/>
      <c r="D175" s="4387"/>
      <c r="E175" s="4387"/>
      <c r="F175" s="4387"/>
      <c r="G175" s="4387"/>
      <c r="H175" s="4387"/>
      <c r="I175" s="4387"/>
      <c r="J175" s="4387"/>
      <c r="K175" s="4387"/>
      <c r="L175" s="4387"/>
      <c r="M175" s="4387"/>
      <c r="N175" s="4387"/>
      <c r="O175" s="4387"/>
      <c r="P175" s="4387"/>
      <c r="Q175" s="4388"/>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21" t="s">
        <v>1495</v>
      </c>
      <c r="B177" s="3" t="s">
        <v>6537</v>
      </c>
      <c r="C177" s="3"/>
      <c r="D177" s="38"/>
      <c r="E177" s="38"/>
      <c r="F177" s="38"/>
      <c r="G177" s="2586"/>
      <c r="H177" s="2586"/>
      <c r="I177" s="1032"/>
      <c r="J177" s="2586"/>
      <c r="K177" s="2586"/>
      <c r="L177" s="2586"/>
      <c r="M177" s="2586"/>
      <c r="N177" s="621" t="s">
        <v>6462</v>
      </c>
      <c r="O177" s="66" t="s">
        <v>1450</v>
      </c>
      <c r="P177" s="4401"/>
      <c r="Q177" s="4390"/>
      <c r="R177" s="623" t="s">
        <v>6463</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6523</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185</v>
      </c>
      <c r="B179" s="4385" t="s">
        <v>6538</v>
      </c>
      <c r="C179" s="4385"/>
      <c r="D179" s="4385"/>
      <c r="E179" s="4385"/>
      <c r="F179" s="4385"/>
      <c r="G179" s="4385"/>
      <c r="H179" s="28" t="s">
        <v>1510</v>
      </c>
      <c r="I179" s="13" t="s">
        <v>6539</v>
      </c>
      <c r="J179" s="4394" t="s">
        <v>1493</v>
      </c>
      <c r="K179" s="4395"/>
      <c r="L179" s="4395"/>
      <c r="M179" s="4395"/>
      <c r="N179" s="4396"/>
      <c r="O179" s="84" t="s">
        <v>6540</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85"/>
      <c r="C180" s="4385"/>
      <c r="D180" s="4385"/>
      <c r="E180" s="4385"/>
      <c r="F180" s="4385"/>
      <c r="G180" s="4385"/>
      <c r="H180" s="28" t="s">
        <v>1513</v>
      </c>
      <c r="I180" s="13" t="s">
        <v>6541</v>
      </c>
      <c r="J180" s="4391" t="s">
        <v>1493</v>
      </c>
      <c r="K180" s="4392"/>
      <c r="L180" s="4392"/>
      <c r="M180" s="4392"/>
      <c r="N180" s="4393"/>
      <c r="O180" s="84" t="s">
        <v>1513</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197</v>
      </c>
      <c r="B181" s="16" t="s">
        <v>1510</v>
      </c>
      <c r="C181" s="13" t="s">
        <v>6542</v>
      </c>
      <c r="D181" s="77"/>
      <c r="E181" s="13"/>
      <c r="F181" s="13"/>
      <c r="G181" s="13"/>
      <c r="H181" s="13"/>
      <c r="I181" s="13"/>
      <c r="J181" s="13"/>
      <c r="K181" s="43"/>
      <c r="L181" s="13"/>
      <c r="M181" s="13"/>
      <c r="N181" s="77"/>
      <c r="O181" s="84" t="s">
        <v>6543</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1513</v>
      </c>
      <c r="C182" s="13" t="s">
        <v>6544</v>
      </c>
      <c r="D182" s="13"/>
      <c r="E182" s="13"/>
      <c r="F182" s="13"/>
      <c r="G182" s="13"/>
      <c r="H182" s="13"/>
      <c r="I182" s="13"/>
      <c r="J182" s="13"/>
      <c r="K182" s="43"/>
      <c r="L182" s="13"/>
      <c r="M182" s="13"/>
      <c r="N182" s="77"/>
      <c r="O182" s="84" t="s">
        <v>1513</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218</v>
      </c>
      <c r="B183" s="13" t="s">
        <v>6545</v>
      </c>
      <c r="C183" s="77"/>
      <c r="D183" s="13"/>
      <c r="E183" s="13"/>
      <c r="F183" s="13"/>
      <c r="G183" s="13"/>
      <c r="H183" s="13"/>
      <c r="I183" s="13"/>
      <c r="J183" s="13"/>
      <c r="K183" s="43"/>
      <c r="L183" s="13"/>
      <c r="M183" s="13"/>
      <c r="N183" s="77"/>
      <c r="O183" s="28" t="s">
        <v>218</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1456</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82"/>
      <c r="B185" s="4383"/>
      <c r="C185" s="4383"/>
      <c r="D185" s="4383"/>
      <c r="E185" s="4383"/>
      <c r="F185" s="4383"/>
      <c r="G185" s="4383"/>
      <c r="H185" s="4383"/>
      <c r="I185" s="4383"/>
      <c r="J185" s="4383"/>
      <c r="K185" s="4383"/>
      <c r="L185" s="4383"/>
      <c r="M185" s="4383"/>
      <c r="N185" s="4383"/>
      <c r="O185" s="4383"/>
      <c r="P185" s="4383"/>
      <c r="Q185" s="4384"/>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1452</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6"/>
      <c r="B187" s="4387"/>
      <c r="C187" s="4387"/>
      <c r="D187" s="4387"/>
      <c r="E187" s="4387"/>
      <c r="F187" s="4387"/>
      <c r="G187" s="4387"/>
      <c r="H187" s="4387"/>
      <c r="I187" s="4387"/>
      <c r="J187" s="4387"/>
      <c r="K187" s="4387"/>
      <c r="L187" s="4387"/>
      <c r="M187" s="4387"/>
      <c r="N187" s="4387"/>
      <c r="O187" s="4387"/>
      <c r="P187" s="4387"/>
      <c r="Q187" s="4388"/>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21" t="s">
        <v>1500</v>
      </c>
      <c r="B189" s="2521" t="s">
        <v>1501</v>
      </c>
      <c r="C189" s="56"/>
      <c r="D189" s="2586"/>
      <c r="E189" s="2586"/>
      <c r="F189" s="2586"/>
      <c r="G189" s="2586"/>
      <c r="H189" s="2586"/>
      <c r="I189" s="2586"/>
      <c r="J189" s="2586"/>
      <c r="K189" s="2586"/>
      <c r="L189" s="2586"/>
      <c r="M189" s="2586"/>
      <c r="N189" s="77"/>
      <c r="O189" s="66" t="s">
        <v>1450</v>
      </c>
      <c r="P189" s="4401"/>
      <c r="Q189" s="4390"/>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6546</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185</v>
      </c>
      <c r="B191" s="13" t="s">
        <v>6547</v>
      </c>
      <c r="C191" s="77"/>
      <c r="D191" s="43"/>
      <c r="E191" s="43"/>
      <c r="F191" s="43"/>
      <c r="G191" s="43"/>
      <c r="H191" s="43"/>
      <c r="I191" s="43"/>
      <c r="J191" s="43"/>
      <c r="K191" s="43"/>
      <c r="L191" s="43"/>
      <c r="M191" s="43"/>
      <c r="N191" s="77"/>
      <c r="O191" s="28" t="s">
        <v>185</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1510</v>
      </c>
      <c r="C192" s="13" t="s">
        <v>1504</v>
      </c>
      <c r="D192" s="77"/>
      <c r="E192" s="13"/>
      <c r="F192" s="13"/>
      <c r="G192" s="13"/>
      <c r="H192" s="13"/>
      <c r="I192" s="43"/>
      <c r="J192" s="28" t="s">
        <v>6540</v>
      </c>
      <c r="K192" s="4394" t="s">
        <v>720</v>
      </c>
      <c r="L192" s="4396"/>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1513</v>
      </c>
      <c r="C193" s="16" t="s">
        <v>1505</v>
      </c>
      <c r="D193" s="77"/>
      <c r="E193" s="16"/>
      <c r="F193" s="16"/>
      <c r="G193" s="16"/>
      <c r="H193" s="16"/>
      <c r="I193" s="43"/>
      <c r="J193" s="28" t="s">
        <v>6548</v>
      </c>
      <c r="K193" s="4429" t="s">
        <v>720</v>
      </c>
      <c r="L193" s="4430"/>
      <c r="M193" s="77"/>
      <c r="N193" s="77"/>
      <c r="O193" s="77"/>
      <c r="P193" s="77"/>
      <c r="Q193" s="4408"/>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405" t="s">
        <v>1506</v>
      </c>
      <c r="D194" s="4406"/>
      <c r="E194" s="4406"/>
      <c r="F194" s="4406"/>
      <c r="G194" s="4406"/>
      <c r="H194" s="4406"/>
      <c r="I194" s="4406"/>
      <c r="J194" s="4406"/>
      <c r="K194" s="4406"/>
      <c r="L194" s="4406"/>
      <c r="M194" s="4406"/>
      <c r="N194" s="4406"/>
      <c r="O194" s="4407"/>
      <c r="P194" s="77"/>
      <c r="Q194" s="4409"/>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1514</v>
      </c>
      <c r="C195" s="16" t="s">
        <v>1507</v>
      </c>
      <c r="D195" s="77"/>
      <c r="E195" s="16"/>
      <c r="F195" s="16"/>
      <c r="G195" s="16"/>
      <c r="H195" s="16"/>
      <c r="I195" s="43"/>
      <c r="J195" s="28" t="s">
        <v>6549</v>
      </c>
      <c r="K195" s="4426" t="s">
        <v>720</v>
      </c>
      <c r="L195" s="4427"/>
      <c r="M195" s="4427"/>
      <c r="N195" s="4428"/>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197</v>
      </c>
      <c r="B196" s="13" t="s">
        <v>6550</v>
      </c>
      <c r="C196" s="77"/>
      <c r="D196" s="13"/>
      <c r="E196" s="13"/>
      <c r="F196" s="13"/>
      <c r="G196" s="13"/>
      <c r="H196" s="13"/>
      <c r="I196" s="13"/>
      <c r="J196" s="13"/>
      <c r="K196" s="43"/>
      <c r="L196" s="43"/>
      <c r="M196" s="43"/>
      <c r="N196" s="43"/>
      <c r="O196" s="28" t="s">
        <v>197</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6551</v>
      </c>
      <c r="C197" s="77"/>
      <c r="D197" s="13"/>
      <c r="E197" s="13"/>
      <c r="F197" s="13"/>
      <c r="G197" s="13"/>
      <c r="H197" s="13"/>
      <c r="I197" s="13"/>
      <c r="J197" s="13"/>
      <c r="K197" s="43"/>
      <c r="L197" s="43"/>
      <c r="M197" s="43"/>
      <c r="N197" s="28" t="s">
        <v>631</v>
      </c>
      <c r="O197" s="851" t="e">
        <f>#REF!</f>
        <v>#REF!</v>
      </c>
      <c r="P197" s="4410" t="s">
        <v>6552</v>
      </c>
      <c r="Q197" s="4410"/>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1510</v>
      </c>
      <c r="C198" s="13" t="s">
        <v>6553</v>
      </c>
      <c r="D198" s="13"/>
      <c r="E198" s="13"/>
      <c r="F198" s="13"/>
      <c r="G198" s="77"/>
      <c r="H198" s="28" t="s">
        <v>6554</v>
      </c>
      <c r="I198" s="13" t="s">
        <v>6555</v>
      </c>
      <c r="J198" s="77"/>
      <c r="K198" s="77"/>
      <c r="L198" s="77"/>
      <c r="M198" s="43"/>
      <c r="N198" s="43"/>
      <c r="O198" s="143"/>
      <c r="P198" s="637" t="s">
        <v>6556</v>
      </c>
      <c r="Q198" s="844" t="s">
        <v>6557</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202</v>
      </c>
      <c r="C199" s="4411" t="s">
        <v>1511</v>
      </c>
      <c r="D199" s="4412"/>
      <c r="E199" s="4412"/>
      <c r="F199" s="4412"/>
      <c r="G199" s="4413"/>
      <c r="H199" s="28" t="s">
        <v>202</v>
      </c>
      <c r="I199" s="3475" t="s">
        <v>6558</v>
      </c>
      <c r="J199" s="3476"/>
      <c r="K199" s="3476"/>
      <c r="L199" s="3476"/>
      <c r="M199" s="3476"/>
      <c r="N199" s="3476"/>
      <c r="O199" s="3478"/>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205</v>
      </c>
      <c r="C200" s="4402" t="s">
        <v>1511</v>
      </c>
      <c r="D200" s="4403"/>
      <c r="E200" s="4403"/>
      <c r="F200" s="4403"/>
      <c r="G200" s="4404"/>
      <c r="H200" s="28" t="s">
        <v>205</v>
      </c>
      <c r="I200" s="3482"/>
      <c r="J200" s="3483"/>
      <c r="K200" s="3483"/>
      <c r="L200" s="3483"/>
      <c r="M200" s="3483"/>
      <c r="N200" s="3483"/>
      <c r="O200" s="3485"/>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207</v>
      </c>
      <c r="C201" s="4402" t="s">
        <v>1511</v>
      </c>
      <c r="D201" s="4403"/>
      <c r="E201" s="4403"/>
      <c r="F201" s="4403"/>
      <c r="G201" s="4404"/>
      <c r="H201" s="28" t="s">
        <v>207</v>
      </c>
      <c r="I201" s="3482" t="s">
        <v>6558</v>
      </c>
      <c r="J201" s="3483"/>
      <c r="K201" s="3483"/>
      <c r="L201" s="3483"/>
      <c r="M201" s="3483"/>
      <c r="N201" s="3483"/>
      <c r="O201" s="3485"/>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1997</v>
      </c>
      <c r="C202" s="4431" t="s">
        <v>1511</v>
      </c>
      <c r="D202" s="4432"/>
      <c r="E202" s="4432"/>
      <c r="F202" s="4432"/>
      <c r="G202" s="4433"/>
      <c r="H202" s="28" t="s">
        <v>1997</v>
      </c>
      <c r="I202" s="3521"/>
      <c r="J202" s="3522"/>
      <c r="K202" s="3522"/>
      <c r="L202" s="3522"/>
      <c r="M202" s="3522"/>
      <c r="N202" s="3522"/>
      <c r="O202" s="3524"/>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218</v>
      </c>
      <c r="B203" s="13" t="s">
        <v>6559</v>
      </c>
      <c r="C203" s="13"/>
      <c r="D203" s="77"/>
      <c r="E203" s="13"/>
      <c r="F203" s="13"/>
      <c r="G203" s="13"/>
      <c r="H203" s="13"/>
      <c r="I203" s="13"/>
      <c r="J203" s="13"/>
      <c r="K203" s="43"/>
      <c r="L203" s="13"/>
      <c r="M203" s="13"/>
      <c r="N203" s="77"/>
      <c r="O203" s="28" t="s">
        <v>218</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1510</v>
      </c>
      <c r="C204" s="13" t="s">
        <v>6560</v>
      </c>
      <c r="D204" s="77"/>
      <c r="E204" s="13"/>
      <c r="F204" s="13"/>
      <c r="G204" s="77"/>
      <c r="H204" s="77"/>
      <c r="I204" s="77"/>
      <c r="J204" s="77"/>
      <c r="K204" s="77"/>
      <c r="L204" s="11"/>
      <c r="M204" s="11"/>
      <c r="N204" s="77"/>
      <c r="O204" s="28" t="s">
        <v>1510</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1513</v>
      </c>
      <c r="C205" s="16" t="s">
        <v>6561</v>
      </c>
      <c r="D205" s="77"/>
      <c r="E205" s="16"/>
      <c r="F205" s="16"/>
      <c r="G205" s="77"/>
      <c r="H205" s="77"/>
      <c r="I205" s="77"/>
      <c r="J205" s="77"/>
      <c r="K205" s="77"/>
      <c r="L205" s="11"/>
      <c r="M205" s="11"/>
      <c r="N205" s="77"/>
      <c r="O205" s="28" t="s">
        <v>1513</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1514</v>
      </c>
      <c r="C206" s="16" t="s">
        <v>6562</v>
      </c>
      <c r="D206" s="77"/>
      <c r="E206" s="16"/>
      <c r="F206" s="16"/>
      <c r="G206" s="16"/>
      <c r="H206" s="16"/>
      <c r="I206" s="43"/>
      <c r="J206" s="11"/>
      <c r="K206" s="43"/>
      <c r="L206" s="11"/>
      <c r="M206" s="11"/>
      <c r="N206" s="77"/>
      <c r="O206" s="28" t="s">
        <v>1514</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1515</v>
      </c>
      <c r="C207" s="16" t="s">
        <v>6563</v>
      </c>
      <c r="D207" s="77"/>
      <c r="E207" s="16"/>
      <c r="F207" s="16"/>
      <c r="G207" s="16"/>
      <c r="H207" s="16"/>
      <c r="I207" s="43"/>
      <c r="J207" s="11"/>
      <c r="K207" s="43"/>
      <c r="L207" s="11"/>
      <c r="M207" s="11"/>
      <c r="N207" s="77"/>
      <c r="O207" s="28" t="s">
        <v>1515</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4562</v>
      </c>
      <c r="C208" s="16" t="s">
        <v>6564</v>
      </c>
      <c r="D208" s="77"/>
      <c r="E208" s="16"/>
      <c r="F208" s="16"/>
      <c r="G208" s="16"/>
      <c r="H208" s="16"/>
      <c r="I208" s="43"/>
      <c r="J208" s="11"/>
      <c r="K208" s="43"/>
      <c r="L208" s="11"/>
      <c r="M208" s="11"/>
      <c r="N208" s="77"/>
      <c r="O208" s="28" t="s">
        <v>4562</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4564</v>
      </c>
      <c r="C209" s="4385" t="s">
        <v>6565</v>
      </c>
      <c r="D209" s="4385"/>
      <c r="E209" s="4385"/>
      <c r="F209" s="4385"/>
      <c r="G209" s="4385"/>
      <c r="H209" s="4385"/>
      <c r="I209" s="4385"/>
      <c r="J209" s="4385"/>
      <c r="K209" s="4385"/>
      <c r="L209" s="4385"/>
      <c r="M209" s="4385"/>
      <c r="N209" s="4385"/>
      <c r="O209" s="84" t="s">
        <v>4564</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220</v>
      </c>
      <c r="B210" s="13" t="s">
        <v>6566</v>
      </c>
      <c r="C210" s="13"/>
      <c r="D210" s="77"/>
      <c r="E210" s="13"/>
      <c r="F210" s="13"/>
      <c r="G210" s="13"/>
      <c r="H210" s="13"/>
      <c r="I210" s="13"/>
      <c r="J210" s="13"/>
      <c r="K210" s="43"/>
      <c r="L210" s="77"/>
      <c r="M210" s="77"/>
      <c r="N210" s="283" t="str">
        <f>'Part VII-Threshold Criteria OLD'!J35</f>
        <v>&lt;&lt; Select PROPOSED Tenancy &gt;&gt;</v>
      </c>
      <c r="O210" s="28" t="s">
        <v>220</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1510</v>
      </c>
      <c r="C211" s="13" t="s">
        <v>6567</v>
      </c>
      <c r="D211" s="77"/>
      <c r="E211" s="43"/>
      <c r="F211" s="43"/>
      <c r="G211" s="13"/>
      <c r="H211" s="16"/>
      <c r="I211" s="43"/>
      <c r="J211" s="16"/>
      <c r="K211" s="43"/>
      <c r="L211" s="16"/>
      <c r="M211" s="16"/>
      <c r="N211" s="77"/>
      <c r="O211" s="28" t="s">
        <v>1510</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1513</v>
      </c>
      <c r="C212" s="13" t="s">
        <v>6568</v>
      </c>
      <c r="D212" s="77"/>
      <c r="E212" s="43"/>
      <c r="F212" s="43"/>
      <c r="G212" s="16"/>
      <c r="H212" s="16"/>
      <c r="I212" s="43"/>
      <c r="J212" s="16"/>
      <c r="K212" s="43"/>
      <c r="L212" s="16"/>
      <c r="M212" s="16"/>
      <c r="N212" s="77"/>
      <c r="O212" s="28" t="s">
        <v>1513</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1456</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82"/>
      <c r="B214" s="4383"/>
      <c r="C214" s="4383"/>
      <c r="D214" s="4383"/>
      <c r="E214" s="4383"/>
      <c r="F214" s="4383"/>
      <c r="G214" s="4383"/>
      <c r="H214" s="4383"/>
      <c r="I214" s="4383"/>
      <c r="J214" s="4383"/>
      <c r="K214" s="4383"/>
      <c r="L214" s="4383"/>
      <c r="M214" s="4383"/>
      <c r="N214" s="4383"/>
      <c r="O214" s="4383"/>
      <c r="P214" s="4383"/>
      <c r="Q214" s="4384"/>
      <c r="R214" s="248" t="s">
        <v>6410</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1452</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6"/>
      <c r="B216" s="4387"/>
      <c r="C216" s="4387"/>
      <c r="D216" s="4387"/>
      <c r="E216" s="4387"/>
      <c r="F216" s="4387"/>
      <c r="G216" s="4387"/>
      <c r="H216" s="4387"/>
      <c r="I216" s="4387"/>
      <c r="J216" s="4387"/>
      <c r="K216" s="4387"/>
      <c r="L216" s="4387"/>
      <c r="M216" s="4387"/>
      <c r="N216" s="4387"/>
      <c r="O216" s="4387"/>
      <c r="P216" s="4387"/>
      <c r="Q216" s="4388"/>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21" t="s">
        <v>1516</v>
      </c>
      <c r="B217" s="2521" t="s">
        <v>6569</v>
      </c>
      <c r="C217" s="16"/>
      <c r="D217" s="2586"/>
      <c r="E217" s="2586"/>
      <c r="F217" s="2586"/>
      <c r="G217" s="2586"/>
      <c r="H217" s="2586"/>
      <c r="I217" s="2586"/>
      <c r="J217" s="2586"/>
      <c r="K217" s="283" t="s">
        <v>6570</v>
      </c>
      <c r="L217" s="903" t="e">
        <f>#REF!</f>
        <v>#REF!</v>
      </c>
      <c r="M217" s="2586"/>
      <c r="N217" s="77"/>
      <c r="O217" s="66" t="s">
        <v>1450</v>
      </c>
      <c r="P217" s="4401"/>
      <c r="Q217" s="4390"/>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185</v>
      </c>
      <c r="B218" s="73" t="s">
        <v>6571</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6572</v>
      </c>
      <c r="C219" s="43"/>
      <c r="D219" s="43"/>
      <c r="E219" s="43"/>
      <c r="F219" s="43"/>
      <c r="G219" s="43"/>
      <c r="H219" s="43"/>
      <c r="I219" s="43"/>
      <c r="J219" s="2581" t="s">
        <v>6573</v>
      </c>
      <c r="K219" s="13" t="s">
        <v>6572</v>
      </c>
      <c r="L219" s="43"/>
      <c r="M219" s="43"/>
      <c r="N219" s="43"/>
      <c r="O219" s="43"/>
      <c r="P219" s="43"/>
      <c r="Q219" s="2581" t="s">
        <v>6573</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475"/>
      <c r="C220" s="3476"/>
      <c r="D220" s="3476"/>
      <c r="E220" s="3476"/>
      <c r="F220" s="3476"/>
      <c r="G220" s="3476"/>
      <c r="H220" s="3476"/>
      <c r="I220" s="3476"/>
      <c r="J220" s="2916"/>
      <c r="K220" s="3475"/>
      <c r="L220" s="3476"/>
      <c r="M220" s="3476"/>
      <c r="N220" s="3476"/>
      <c r="O220" s="3476"/>
      <c r="P220" s="3476"/>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482"/>
      <c r="C221" s="3483"/>
      <c r="D221" s="3483"/>
      <c r="E221" s="3483"/>
      <c r="F221" s="3483"/>
      <c r="G221" s="3483"/>
      <c r="H221" s="3483"/>
      <c r="I221" s="3483"/>
      <c r="J221" s="1355"/>
      <c r="K221" s="3482"/>
      <c r="L221" s="3483"/>
      <c r="M221" s="3483"/>
      <c r="N221" s="3483"/>
      <c r="O221" s="3483"/>
      <c r="P221" s="3483"/>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482"/>
      <c r="C222" s="3483"/>
      <c r="D222" s="3483"/>
      <c r="E222" s="3483"/>
      <c r="F222" s="3483"/>
      <c r="G222" s="3483"/>
      <c r="H222" s="3483"/>
      <c r="I222" s="3483"/>
      <c r="J222" s="1355"/>
      <c r="K222" s="3482"/>
      <c r="L222" s="3483"/>
      <c r="M222" s="3483"/>
      <c r="N222" s="3483"/>
      <c r="O222" s="3483"/>
      <c r="P222" s="3483"/>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482"/>
      <c r="C223" s="3483"/>
      <c r="D223" s="3483"/>
      <c r="E223" s="3483"/>
      <c r="F223" s="3483"/>
      <c r="G223" s="3483"/>
      <c r="H223" s="3483"/>
      <c r="I223" s="3483"/>
      <c r="J223" s="1355"/>
      <c r="K223" s="3482"/>
      <c r="L223" s="3483"/>
      <c r="M223" s="3483"/>
      <c r="N223" s="3483"/>
      <c r="O223" s="3483"/>
      <c r="P223" s="3483"/>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482"/>
      <c r="C224" s="3483"/>
      <c r="D224" s="3483"/>
      <c r="E224" s="3483"/>
      <c r="F224" s="3483"/>
      <c r="G224" s="3483"/>
      <c r="H224" s="3483"/>
      <c r="I224" s="3483"/>
      <c r="J224" s="1355"/>
      <c r="K224" s="3482"/>
      <c r="L224" s="3483"/>
      <c r="M224" s="3483"/>
      <c r="N224" s="3483"/>
      <c r="O224" s="3483"/>
      <c r="P224" s="3483"/>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482"/>
      <c r="C225" s="3483"/>
      <c r="D225" s="3483"/>
      <c r="E225" s="3483"/>
      <c r="F225" s="3483"/>
      <c r="G225" s="3483"/>
      <c r="H225" s="3483"/>
      <c r="I225" s="3483"/>
      <c r="J225" s="1355"/>
      <c r="K225" s="3482"/>
      <c r="L225" s="3483"/>
      <c r="M225" s="3483"/>
      <c r="N225" s="3483"/>
      <c r="O225" s="3483"/>
      <c r="P225" s="3483"/>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482"/>
      <c r="C226" s="3483"/>
      <c r="D226" s="3483"/>
      <c r="E226" s="3483"/>
      <c r="F226" s="3483"/>
      <c r="G226" s="3483"/>
      <c r="H226" s="3483"/>
      <c r="I226" s="3483"/>
      <c r="J226" s="1355"/>
      <c r="K226" s="3482"/>
      <c r="L226" s="3483"/>
      <c r="M226" s="3483"/>
      <c r="N226" s="3483"/>
      <c r="O226" s="3483"/>
      <c r="P226" s="3483"/>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521"/>
      <c r="C227" s="3522"/>
      <c r="D227" s="3522"/>
      <c r="E227" s="3522"/>
      <c r="F227" s="3522"/>
      <c r="G227" s="3522"/>
      <c r="H227" s="3522"/>
      <c r="I227" s="3522"/>
      <c r="J227" s="1356"/>
      <c r="K227" s="3521"/>
      <c r="L227" s="3522"/>
      <c r="M227" s="3522"/>
      <c r="N227" s="3522"/>
      <c r="O227" s="3522"/>
      <c r="P227" s="3522"/>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197</v>
      </c>
      <c r="B228" s="2917" t="s">
        <v>6574</v>
      </c>
      <c r="C228" s="2911"/>
      <c r="D228" s="2918"/>
      <c r="E228" s="2918"/>
      <c r="F228" s="2918"/>
      <c r="G228" s="2918"/>
      <c r="H228" s="2918"/>
      <c r="I228" s="2652"/>
      <c r="J228" s="2652"/>
      <c r="K228" s="2918"/>
      <c r="L228" s="2910"/>
      <c r="M228" s="2911"/>
      <c r="N228" s="2911"/>
      <c r="O228" s="84" t="s">
        <v>197</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218</v>
      </c>
      <c r="B229" s="4385" t="s">
        <v>6575</v>
      </c>
      <c r="C229" s="4385"/>
      <c r="D229" s="4385"/>
      <c r="E229" s="4385"/>
      <c r="F229" s="4385"/>
      <c r="G229" s="4385"/>
      <c r="H229" s="4385"/>
      <c r="I229" s="4385"/>
      <c r="J229" s="4385"/>
      <c r="K229" s="4385"/>
      <c r="L229" s="4385"/>
      <c r="M229" s="4385"/>
      <c r="N229" s="4385"/>
      <c r="O229" s="84" t="s">
        <v>218</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220</v>
      </c>
      <c r="B230" s="73" t="s">
        <v>6576</v>
      </c>
      <c r="D230" s="73"/>
      <c r="E230" s="73"/>
      <c r="F230" s="73"/>
      <c r="G230" s="73"/>
      <c r="H230" s="73"/>
      <c r="I230" s="73"/>
      <c r="J230" s="73"/>
      <c r="K230" s="73"/>
      <c r="L230" s="73"/>
      <c r="M230" s="73"/>
      <c r="O230" s="28" t="s">
        <v>220</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1456</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82"/>
      <c r="B232" s="4383"/>
      <c r="C232" s="4383"/>
      <c r="D232" s="4383"/>
      <c r="E232" s="4383"/>
      <c r="F232" s="4383"/>
      <c r="G232" s="4383"/>
      <c r="H232" s="4383"/>
      <c r="I232" s="4383"/>
      <c r="J232" s="4383"/>
      <c r="K232" s="4383"/>
      <c r="L232" s="4383"/>
      <c r="M232" s="4383"/>
      <c r="N232" s="4383"/>
      <c r="O232" s="4383"/>
      <c r="P232" s="4383"/>
      <c r="Q232" s="4384"/>
      <c r="R232" s="248" t="s">
        <v>6410</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1452</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6"/>
      <c r="B234" s="4387"/>
      <c r="C234" s="4387"/>
      <c r="D234" s="4387"/>
      <c r="E234" s="4387"/>
      <c r="F234" s="4387"/>
      <c r="G234" s="4387"/>
      <c r="H234" s="4387"/>
      <c r="I234" s="4387"/>
      <c r="J234" s="4387"/>
      <c r="K234" s="4387"/>
      <c r="L234" s="4387"/>
      <c r="M234" s="4387"/>
      <c r="N234" s="4387"/>
      <c r="O234" s="4387"/>
      <c r="P234" s="4387"/>
      <c r="Q234" s="4388"/>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21" t="s">
        <v>1520</v>
      </c>
      <c r="B236" s="3" t="s">
        <v>1517</v>
      </c>
      <c r="C236" s="3"/>
      <c r="D236" s="38"/>
      <c r="E236" s="38"/>
      <c r="F236" s="38"/>
      <c r="G236" s="38"/>
      <c r="H236" s="2586"/>
      <c r="I236" s="2586"/>
      <c r="J236" s="2586"/>
      <c r="K236" s="2586"/>
      <c r="L236" s="492"/>
      <c r="M236" s="867"/>
      <c r="N236" s="77"/>
      <c r="O236" s="66" t="s">
        <v>1450</v>
      </c>
      <c r="P236" s="4401"/>
      <c r="Q236" s="4390"/>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6577</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85" customHeight="1">
      <c r="A238" s="22" t="s">
        <v>185</v>
      </c>
      <c r="B238" s="13" t="s">
        <v>1518</v>
      </c>
      <c r="C238" s="77"/>
      <c r="D238" s="43"/>
      <c r="E238" s="13"/>
      <c r="F238" s="13"/>
      <c r="G238" s="77"/>
      <c r="H238" s="77"/>
      <c r="I238" s="77"/>
      <c r="J238" s="28" t="s">
        <v>185</v>
      </c>
      <c r="K238" s="4445" t="s">
        <v>720</v>
      </c>
      <c r="L238" s="4446"/>
      <c r="M238" s="4446"/>
      <c r="N238" s="4446"/>
      <c r="O238" s="4447"/>
      <c r="P238" s="4443" t="s">
        <v>720</v>
      </c>
      <c r="Q238" s="4444"/>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85" t="s">
        <v>6578</v>
      </c>
      <c r="C239" s="4385"/>
      <c r="D239" s="4385"/>
      <c r="E239" s="4385"/>
      <c r="F239" s="4385"/>
      <c r="G239" s="4385"/>
      <c r="H239" s="4385"/>
      <c r="I239" s="4385"/>
      <c r="J239" s="4385"/>
      <c r="K239" s="4385"/>
      <c r="L239" s="4385"/>
      <c r="M239" s="4385"/>
      <c r="N239" s="4385"/>
      <c r="O239" s="4450"/>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197</v>
      </c>
      <c r="B240" s="13" t="s">
        <v>6579</v>
      </c>
      <c r="C240" s="77"/>
      <c r="D240" s="13"/>
      <c r="E240" s="13"/>
      <c r="F240" s="13"/>
      <c r="G240" s="77"/>
      <c r="H240" s="77"/>
      <c r="I240" s="77"/>
      <c r="J240" s="28" t="s">
        <v>197</v>
      </c>
      <c r="K240" s="4486"/>
      <c r="L240" s="4487"/>
      <c r="M240" s="4487"/>
      <c r="N240" s="4487"/>
      <c r="O240" s="4488"/>
      <c r="P240" s="4482"/>
      <c r="Q240" s="4483"/>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1510</v>
      </c>
      <c r="C241" s="13" t="s">
        <v>1519</v>
      </c>
      <c r="D241" s="13"/>
      <c r="E241" s="13"/>
      <c r="F241" s="13"/>
      <c r="J241" s="28" t="s">
        <v>1510</v>
      </c>
      <c r="K241" s="4391"/>
      <c r="L241" s="4392"/>
      <c r="M241" s="4392"/>
      <c r="N241" s="4392"/>
      <c r="O241" s="4393"/>
      <c r="P241" s="4484"/>
      <c r="Q241" s="4485"/>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1513</v>
      </c>
      <c r="C242" s="13" t="s">
        <v>6580</v>
      </c>
      <c r="D242" s="13"/>
      <c r="E242" s="13"/>
      <c r="F242" s="13"/>
      <c r="G242" s="13"/>
      <c r="H242" s="13"/>
      <c r="I242" s="43"/>
      <c r="J242" s="43"/>
      <c r="M242" s="13"/>
      <c r="N242" s="587"/>
      <c r="O242" s="28" t="s">
        <v>1513</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1514</v>
      </c>
      <c r="C243" s="4385" t="s">
        <v>6581</v>
      </c>
      <c r="D243" s="4385"/>
      <c r="E243" s="4385"/>
      <c r="F243" s="4385"/>
      <c r="G243" s="4385"/>
      <c r="H243" s="4385"/>
      <c r="I243" s="4385"/>
      <c r="J243" s="4385"/>
      <c r="K243" s="4385"/>
      <c r="L243" s="4385"/>
      <c r="M243" s="4385"/>
      <c r="N243" s="4385"/>
      <c r="O243" s="84" t="s">
        <v>1514</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1515</v>
      </c>
      <c r="C244" s="4385" t="s">
        <v>6582</v>
      </c>
      <c r="D244" s="4385"/>
      <c r="E244" s="4385"/>
      <c r="F244" s="4385"/>
      <c r="G244" s="4385"/>
      <c r="H244" s="4385"/>
      <c r="I244" s="4385"/>
      <c r="J244" s="4385"/>
      <c r="K244" s="4385"/>
      <c r="L244" s="4385"/>
      <c r="M244" s="4385"/>
      <c r="N244" s="4385"/>
      <c r="O244" s="84" t="s">
        <v>1515</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218</v>
      </c>
      <c r="B245" s="13" t="s">
        <v>6583</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528" t="s">
        <v>6584</v>
      </c>
      <c r="C246" s="4528"/>
      <c r="D246" s="4528"/>
      <c r="E246" s="25" t="s">
        <v>6585</v>
      </c>
      <c r="F246" s="329"/>
      <c r="G246" s="329"/>
      <c r="K246" s="43"/>
      <c r="M246" s="13"/>
      <c r="N246" s="587"/>
      <c r="O246" s="28" t="s">
        <v>1510</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528"/>
      <c r="C247" s="4528"/>
      <c r="D247" s="4528"/>
      <c r="E247" s="25" t="s">
        <v>6586</v>
      </c>
      <c r="F247" s="329"/>
      <c r="G247" s="329"/>
      <c r="K247" s="43"/>
      <c r="M247" s="13"/>
      <c r="N247" s="587"/>
      <c r="O247" s="28" t="s">
        <v>1513</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528"/>
      <c r="C248" s="4528"/>
      <c r="D248" s="4528"/>
      <c r="E248" s="25" t="s">
        <v>6587</v>
      </c>
      <c r="F248" s="13"/>
      <c r="G248" s="13"/>
      <c r="K248" s="43"/>
      <c r="M248" s="13"/>
      <c r="N248" s="587"/>
      <c r="O248" s="28" t="s">
        <v>1514</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528"/>
      <c r="C249" s="4528"/>
      <c r="D249" s="4528"/>
      <c r="E249" s="25" t="s">
        <v>6588</v>
      </c>
      <c r="F249" s="13"/>
      <c r="G249" s="13"/>
      <c r="K249" s="43"/>
      <c r="M249" s="13"/>
      <c r="N249" s="587"/>
      <c r="O249" s="28" t="s">
        <v>1515</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85" t="s">
        <v>6589</v>
      </c>
      <c r="F250" s="4385"/>
      <c r="G250" s="4385"/>
      <c r="H250" s="4385"/>
      <c r="I250" s="4385"/>
      <c r="J250" s="4385"/>
      <c r="K250" s="4385"/>
      <c r="L250" s="4385"/>
      <c r="M250" s="4385"/>
      <c r="N250" s="4385"/>
      <c r="O250" s="84" t="s">
        <v>4562</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1456</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82"/>
      <c r="B252" s="4383"/>
      <c r="C252" s="4383"/>
      <c r="D252" s="4383"/>
      <c r="E252" s="4383"/>
      <c r="F252" s="4383"/>
      <c r="G252" s="4383"/>
      <c r="H252" s="4383"/>
      <c r="I252" s="4383"/>
      <c r="J252" s="4383"/>
      <c r="K252" s="4383"/>
      <c r="L252" s="4383"/>
      <c r="M252" s="4383"/>
      <c r="N252" s="4383"/>
      <c r="O252" s="4383"/>
      <c r="P252" s="4383"/>
      <c r="Q252" s="4384"/>
      <c r="R252" s="248" t="s">
        <v>6410</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1452</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6"/>
      <c r="B254" s="4387"/>
      <c r="C254" s="4387"/>
      <c r="D254" s="4387"/>
      <c r="E254" s="4387"/>
      <c r="F254" s="4387"/>
      <c r="G254" s="4387"/>
      <c r="H254" s="4387"/>
      <c r="I254" s="4387"/>
      <c r="J254" s="4387"/>
      <c r="K254" s="4387"/>
      <c r="L254" s="4387"/>
      <c r="M254" s="4387"/>
      <c r="N254" s="4387"/>
      <c r="O254" s="4387"/>
      <c r="P254" s="4387"/>
      <c r="Q254" s="4388"/>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21" t="s">
        <v>1522</v>
      </c>
      <c r="B256" s="3" t="s">
        <v>1521</v>
      </c>
      <c r="C256" s="3"/>
      <c r="D256" s="38"/>
      <c r="E256" s="38"/>
      <c r="F256" s="38"/>
      <c r="G256" s="38"/>
      <c r="H256" s="2586"/>
      <c r="I256" s="2586"/>
      <c r="J256" s="2586"/>
      <c r="K256" s="2586"/>
      <c r="L256" s="2586"/>
      <c r="M256" s="2586"/>
      <c r="N256" s="77"/>
      <c r="O256" s="66" t="s">
        <v>1450</v>
      </c>
      <c r="P256" s="4401"/>
      <c r="Q256" s="4390"/>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185</v>
      </c>
      <c r="B257" s="2586" t="s">
        <v>1510</v>
      </c>
      <c r="C257" s="4385" t="s">
        <v>6590</v>
      </c>
      <c r="D257" s="4385"/>
      <c r="E257" s="4385"/>
      <c r="F257" s="4385"/>
      <c r="G257" s="4385"/>
      <c r="H257" s="4385"/>
      <c r="I257" s="4385"/>
      <c r="J257" s="4385"/>
      <c r="K257" s="4385"/>
      <c r="L257" s="4385"/>
      <c r="M257" s="4385"/>
      <c r="N257" s="4385"/>
      <c r="O257" s="946" t="s">
        <v>6540</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85" customHeight="1">
      <c r="A258" s="22"/>
      <c r="B258" s="2586" t="s">
        <v>1513</v>
      </c>
      <c r="C258" s="13" t="s">
        <v>6591</v>
      </c>
      <c r="D258" s="13"/>
      <c r="E258" s="13"/>
      <c r="F258" s="13"/>
      <c r="G258" s="13"/>
      <c r="H258" s="13"/>
      <c r="I258" s="13"/>
      <c r="J258" s="13"/>
      <c r="K258" s="13"/>
      <c r="L258" s="13"/>
      <c r="M258" s="13"/>
      <c r="O258" s="946" t="s">
        <v>1513</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85" customHeight="1">
      <c r="A259" s="22" t="s">
        <v>197</v>
      </c>
      <c r="B259" s="13" t="s">
        <v>6592</v>
      </c>
      <c r="D259" s="13"/>
      <c r="E259" s="13"/>
      <c r="F259" s="13"/>
      <c r="G259" s="13"/>
      <c r="H259" s="13"/>
      <c r="I259" s="13"/>
      <c r="J259" s="13"/>
      <c r="K259" s="13"/>
      <c r="L259" s="13"/>
      <c r="M259" s="13"/>
      <c r="O259" s="28" t="s">
        <v>197</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218</v>
      </c>
      <c r="B260" s="2586" t="s">
        <v>1510</v>
      </c>
      <c r="C260" s="4385" t="s">
        <v>6593</v>
      </c>
      <c r="D260" s="4385"/>
      <c r="E260" s="4385"/>
      <c r="F260" s="4385"/>
      <c r="G260" s="4385"/>
      <c r="H260" s="4385"/>
      <c r="I260" s="4385"/>
      <c r="J260" s="4385"/>
      <c r="K260" s="4385"/>
      <c r="L260" s="4385"/>
      <c r="M260" s="4385"/>
      <c r="N260" s="4385"/>
      <c r="O260" s="946" t="s">
        <v>6594</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85" customHeight="1">
      <c r="A261" s="22"/>
      <c r="B261" s="2586" t="s">
        <v>1513</v>
      </c>
      <c r="C261" s="13" t="s">
        <v>6595</v>
      </c>
      <c r="D261" s="13"/>
      <c r="E261" s="13"/>
      <c r="F261" s="13"/>
      <c r="G261" s="13"/>
      <c r="H261" s="13"/>
      <c r="I261" s="13"/>
      <c r="J261" s="13"/>
      <c r="K261" s="13"/>
      <c r="L261" s="13"/>
      <c r="M261" s="13"/>
      <c r="O261" s="946" t="s">
        <v>1513</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220</v>
      </c>
      <c r="B262" s="4385" t="s">
        <v>6596</v>
      </c>
      <c r="C262" s="4385"/>
      <c r="D262" s="4385"/>
      <c r="E262" s="4385"/>
      <c r="F262" s="4385"/>
      <c r="G262" s="4385"/>
      <c r="H262" s="4385"/>
      <c r="I262" s="4385"/>
      <c r="J262" s="4385"/>
      <c r="K262" s="4385"/>
      <c r="L262" s="4385"/>
      <c r="M262" s="4385"/>
      <c r="N262" s="4385"/>
      <c r="O262" s="84" t="s">
        <v>220</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1456</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82"/>
      <c r="B264" s="4383"/>
      <c r="C264" s="4383"/>
      <c r="D264" s="4383"/>
      <c r="E264" s="4383"/>
      <c r="F264" s="4383"/>
      <c r="G264" s="4383"/>
      <c r="H264" s="4383"/>
      <c r="I264" s="4383"/>
      <c r="J264" s="4383"/>
      <c r="K264" s="4383"/>
      <c r="L264" s="4383"/>
      <c r="M264" s="4383"/>
      <c r="N264" s="4383"/>
      <c r="O264" s="4383"/>
      <c r="P264" s="4383"/>
      <c r="Q264" s="4384"/>
      <c r="R264" s="248" t="s">
        <v>6410</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1452</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86"/>
      <c r="B266" s="4387"/>
      <c r="C266" s="4387"/>
      <c r="D266" s="4387"/>
      <c r="E266" s="4387"/>
      <c r="F266" s="4387"/>
      <c r="G266" s="4387"/>
      <c r="H266" s="4387"/>
      <c r="I266" s="4387"/>
      <c r="J266" s="4387"/>
      <c r="K266" s="4387"/>
      <c r="L266" s="4387"/>
      <c r="M266" s="4387"/>
      <c r="N266" s="4387"/>
      <c r="O266" s="4387"/>
      <c r="P266" s="4387"/>
      <c r="Q266" s="4388"/>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21" t="s">
        <v>1528</v>
      </c>
      <c r="B268" s="2521" t="s">
        <v>1523</v>
      </c>
      <c r="C268" s="2521"/>
      <c r="D268" s="2586"/>
      <c r="E268" s="2586"/>
      <c r="F268" s="2586"/>
      <c r="G268" s="2586"/>
      <c r="H268" s="2586"/>
      <c r="I268" s="2586"/>
      <c r="J268" s="2586"/>
      <c r="K268" s="2586"/>
      <c r="L268" s="2586"/>
      <c r="M268" s="2586"/>
      <c r="N268" s="77"/>
      <c r="O268" s="66" t="s">
        <v>1450</v>
      </c>
      <c r="P268" s="4401"/>
      <c r="Q268" s="4390"/>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85" customHeight="1">
      <c r="B269" s="25" t="s">
        <v>6577</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85" customHeight="1">
      <c r="A270" s="22" t="s">
        <v>185</v>
      </c>
      <c r="B270" s="92" t="s">
        <v>1524</v>
      </c>
      <c r="C270" s="43"/>
      <c r="D270" s="43"/>
      <c r="E270" s="43"/>
      <c r="F270" s="43"/>
      <c r="H270" s="43"/>
      <c r="I270" s="43"/>
      <c r="O270" s="84" t="s">
        <v>185</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1510</v>
      </c>
      <c r="C271" s="4385" t="s">
        <v>6597</v>
      </c>
      <c r="D271" s="4385"/>
      <c r="E271" s="4385"/>
      <c r="F271" s="4385"/>
      <c r="G271" s="4385"/>
      <c r="H271" s="4385"/>
      <c r="I271" s="4385"/>
      <c r="J271" s="4385"/>
      <c r="K271" s="4385"/>
      <c r="L271" s="4385"/>
      <c r="M271" s="4385"/>
      <c r="N271" s="4385"/>
      <c r="O271" s="946" t="s">
        <v>1510</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1513</v>
      </c>
      <c r="C272" s="4385" t="s">
        <v>6598</v>
      </c>
      <c r="D272" s="4385"/>
      <c r="E272" s="4385"/>
      <c r="F272" s="4385"/>
      <c r="G272" s="4385"/>
      <c r="H272" s="4385"/>
      <c r="I272" s="4385"/>
      <c r="J272" s="4385"/>
      <c r="K272" s="4385"/>
      <c r="L272" s="4385"/>
      <c r="M272" s="4385"/>
      <c r="N272" s="4385"/>
      <c r="O272" s="946" t="s">
        <v>1513</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197</v>
      </c>
      <c r="B273" s="92" t="s">
        <v>1526</v>
      </c>
      <c r="C273" s="77"/>
      <c r="D273" s="43"/>
      <c r="E273" s="43"/>
      <c r="F273" s="77"/>
      <c r="K273" s="28" t="s">
        <v>197</v>
      </c>
      <c r="L273" s="4529" t="s">
        <v>1527</v>
      </c>
      <c r="M273" s="4530"/>
      <c r="N273" s="4530"/>
      <c r="O273" s="4530"/>
      <c r="P273" s="4531"/>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85" customHeight="1">
      <c r="A274" s="72" t="s">
        <v>218</v>
      </c>
      <c r="B274" s="92" t="s">
        <v>6599</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85" customHeight="1">
      <c r="A275" s="72"/>
      <c r="B275" s="13" t="s">
        <v>6600</v>
      </c>
      <c r="C275" s="77"/>
      <c r="D275" s="43"/>
      <c r="E275" s="43"/>
      <c r="F275" s="77"/>
      <c r="H275" s="77"/>
      <c r="I275" s="77"/>
      <c r="N275" s="1226" t="s">
        <v>6601</v>
      </c>
      <c r="O275" s="28" t="s">
        <v>218</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85" customHeight="1">
      <c r="A276" s="43"/>
      <c r="B276" s="74" t="s">
        <v>1456</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82"/>
      <c r="B277" s="4383"/>
      <c r="C277" s="4383"/>
      <c r="D277" s="4383"/>
      <c r="E277" s="4383"/>
      <c r="F277" s="4383"/>
      <c r="G277" s="4383"/>
      <c r="H277" s="4383"/>
      <c r="I277" s="4383"/>
      <c r="J277" s="4383"/>
      <c r="K277" s="4383"/>
      <c r="L277" s="4383"/>
      <c r="M277" s="4383"/>
      <c r="N277" s="4383"/>
      <c r="O277" s="4383"/>
      <c r="P277" s="4383"/>
      <c r="Q277" s="4384"/>
      <c r="R277" s="248" t="s">
        <v>6410</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1452</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6"/>
      <c r="B279" s="4387"/>
      <c r="C279" s="4387"/>
      <c r="D279" s="4387"/>
      <c r="E279" s="4387"/>
      <c r="F279" s="4387"/>
      <c r="G279" s="4387"/>
      <c r="H279" s="4387"/>
      <c r="I279" s="4387"/>
      <c r="J279" s="4387"/>
      <c r="K279" s="4387"/>
      <c r="L279" s="4387"/>
      <c r="M279" s="4387"/>
      <c r="N279" s="4387"/>
      <c r="O279" s="4387"/>
      <c r="P279" s="4387"/>
      <c r="Q279" s="4388"/>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21" t="s">
        <v>1548</v>
      </c>
      <c r="B281" s="2521" t="s">
        <v>1529</v>
      </c>
      <c r="C281" s="2540"/>
      <c r="D281" s="2587"/>
      <c r="E281" s="2586"/>
      <c r="F281" s="2586"/>
      <c r="G281" s="2586"/>
      <c r="H281" s="2586"/>
      <c r="I281" s="2586"/>
      <c r="J281" s="2586"/>
      <c r="K281" s="2586"/>
      <c r="L281" s="2586"/>
      <c r="M281" s="2586"/>
      <c r="N281" s="77"/>
      <c r="O281" s="66" t="s">
        <v>1450</v>
      </c>
      <c r="P281" s="4401"/>
      <c r="Q281" s="4390"/>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85" customHeight="1">
      <c r="B282" s="25" t="s">
        <v>6577</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185</v>
      </c>
      <c r="B283" s="104" t="s">
        <v>6602</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1510</v>
      </c>
      <c r="C284" s="4385" t="s">
        <v>6603</v>
      </c>
      <c r="D284" s="4385"/>
      <c r="E284" s="4385"/>
      <c r="F284" s="4385"/>
      <c r="G284" s="4385"/>
      <c r="H284" s="4385"/>
      <c r="I284" s="4385"/>
      <c r="J284" s="4385"/>
      <c r="K284" s="4385"/>
      <c r="L284" s="4385"/>
      <c r="M284" s="4385"/>
      <c r="N284" s="4385"/>
      <c r="O284" s="84" t="s">
        <v>6604</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1513</v>
      </c>
      <c r="C285" s="4385" t="s">
        <v>6605</v>
      </c>
      <c r="D285" s="4385"/>
      <c r="E285" s="4385"/>
      <c r="F285" s="4385"/>
      <c r="G285" s="4385"/>
      <c r="H285" s="4385"/>
      <c r="I285" s="4385"/>
      <c r="J285" s="4385"/>
      <c r="K285" s="4385"/>
      <c r="L285" s="4385"/>
      <c r="M285" s="4385"/>
      <c r="N285" s="4385"/>
      <c r="O285" s="84" t="s">
        <v>1513</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1514</v>
      </c>
      <c r="C286" s="4385" t="s">
        <v>6606</v>
      </c>
      <c r="D286" s="4385"/>
      <c r="E286" s="4385"/>
      <c r="F286" s="4385"/>
      <c r="G286" s="4385"/>
      <c r="H286" s="4385"/>
      <c r="I286" s="4385"/>
      <c r="J286" s="4385"/>
      <c r="K286" s="4385"/>
      <c r="L286" s="4385"/>
      <c r="M286" s="4385"/>
      <c r="N286" s="4385"/>
      <c r="O286" s="84" t="s">
        <v>1514</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197</v>
      </c>
      <c r="B287" s="104" t="s">
        <v>6607</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1510</v>
      </c>
      <c r="C288" s="13" t="s">
        <v>202</v>
      </c>
      <c r="D288" s="4385" t="s">
        <v>6608</v>
      </c>
      <c r="E288" s="4385"/>
      <c r="F288" s="4385"/>
      <c r="G288" s="4385"/>
      <c r="H288" s="4385"/>
      <c r="I288" s="73"/>
      <c r="J288" s="4441" t="s">
        <v>6609</v>
      </c>
      <c r="K288" s="4410"/>
      <c r="L288" s="4410"/>
      <c r="M288" s="4454" t="s">
        <v>6610</v>
      </c>
      <c r="N288" s="4454"/>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85"/>
      <c r="E289" s="4385"/>
      <c r="F289" s="4385"/>
      <c r="G289" s="4385"/>
      <c r="H289" s="4385"/>
      <c r="I289" s="2517"/>
      <c r="J289" s="4410"/>
      <c r="K289" s="4410"/>
      <c r="L289" s="4410"/>
      <c r="M289" s="13" t="s">
        <v>6611</v>
      </c>
      <c r="N289" s="2596" t="s">
        <v>6612</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85"/>
      <c r="E290" s="4385"/>
      <c r="F290" s="4385"/>
      <c r="G290" s="4385"/>
      <c r="H290" s="4385"/>
      <c r="I290" s="13" t="s">
        <v>6613</v>
      </c>
      <c r="K290" s="2921"/>
      <c r="L290" s="585" t="e">
        <f>IF(K290&lt;M290,"Check!!!","")</f>
        <v>#REF!</v>
      </c>
      <c r="M290" s="2922" t="e">
        <f>ROUNDUP(#REF!*'Part VII-Threshold Criteria OLD'!N290,0)</f>
        <v>#REF!</v>
      </c>
      <c r="N290" s="833" t="e">
        <f>#REF!</f>
        <v>#REF!</v>
      </c>
      <c r="O290" s="28" t="s">
        <v>6614</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205</v>
      </c>
      <c r="D291" s="4385" t="s">
        <v>6615</v>
      </c>
      <c r="E291" s="4385"/>
      <c r="F291" s="4385"/>
      <c r="G291" s="4385"/>
      <c r="H291" s="4385"/>
      <c r="I291" s="263" t="s">
        <v>6616</v>
      </c>
      <c r="J291" s="95"/>
      <c r="K291" s="1068"/>
      <c r="L291" s="585" t="e">
        <f>IF(K291&lt;M291,"Check!!!","")</f>
        <v>#REF!</v>
      </c>
      <c r="M291" s="1069" t="e">
        <f>ROUNDUP(K290*'Part VII-Threshold Criteria OLD'!N291,0)</f>
        <v>#REF!</v>
      </c>
      <c r="N291" s="833" t="e">
        <f>#REF!</f>
        <v>#REF!</v>
      </c>
      <c r="O291" s="28" t="s">
        <v>205</v>
      </c>
      <c r="P291" s="4534"/>
      <c r="Q291" s="4532"/>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85"/>
      <c r="E292" s="4385"/>
      <c r="F292" s="4385"/>
      <c r="G292" s="4385"/>
      <c r="H292" s="4385"/>
      <c r="O292" s="16"/>
      <c r="P292" s="4535"/>
      <c r="Q292" s="4533"/>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1513</v>
      </c>
      <c r="C293" s="4385" t="s">
        <v>6617</v>
      </c>
      <c r="D293" s="4385"/>
      <c r="E293" s="4385"/>
      <c r="F293" s="4385"/>
      <c r="G293" s="4385"/>
      <c r="H293" s="4385"/>
      <c r="I293" s="13" t="s">
        <v>6618</v>
      </c>
      <c r="J293" s="95"/>
      <c r="K293" s="2923"/>
      <c r="L293" s="585" t="e">
        <f>IF(K293&lt;M293,"Check!!!","")</f>
        <v>#REF!</v>
      </c>
      <c r="M293" s="2924" t="e">
        <f>ROUNDUP(#REF!*'Part VII-Threshold Criteria OLD'!N293,0)</f>
        <v>#REF!</v>
      </c>
      <c r="N293" s="833" t="e">
        <f>#REF!</f>
        <v>#REF!</v>
      </c>
      <c r="O293" s="28" t="s">
        <v>1513</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85"/>
      <c r="D294" s="4385"/>
      <c r="E294" s="4385"/>
      <c r="F294" s="4385"/>
      <c r="G294" s="4385"/>
      <c r="H294" s="4385"/>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85"/>
      <c r="D295" s="4385"/>
      <c r="E295" s="4385"/>
      <c r="F295" s="4385"/>
      <c r="G295" s="4385"/>
      <c r="H295" s="4385"/>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218</v>
      </c>
      <c r="B296" s="104" t="s">
        <v>6619</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85" t="s">
        <v>6620</v>
      </c>
      <c r="C297" s="4385"/>
      <c r="D297" s="4385"/>
      <c r="E297" s="4385"/>
      <c r="F297" s="4385"/>
      <c r="G297" s="4385"/>
      <c r="H297" s="4385"/>
      <c r="I297" s="4385"/>
      <c r="J297" s="4385"/>
      <c r="K297" s="4385"/>
      <c r="L297" s="4385"/>
      <c r="M297" s="4385"/>
      <c r="N297" s="4385"/>
      <c r="O297" s="84" t="s">
        <v>218</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6621</v>
      </c>
      <c r="D298" s="73"/>
      <c r="E298" s="73"/>
      <c r="F298" s="73"/>
      <c r="G298" s="73"/>
      <c r="H298" s="73"/>
      <c r="I298" s="73" t="s">
        <v>6622</v>
      </c>
      <c r="J298" s="73"/>
      <c r="K298" s="73"/>
      <c r="L298" s="4501"/>
      <c r="M298" s="4502"/>
      <c r="N298" s="4502"/>
      <c r="O298" s="4502"/>
      <c r="P298" s="4502"/>
      <c r="Q298" s="4503"/>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1510</v>
      </c>
      <c r="C299" s="4385" t="s">
        <v>6623</v>
      </c>
      <c r="D299" s="4385"/>
      <c r="E299" s="4385"/>
      <c r="F299" s="4385"/>
      <c r="G299" s="4385"/>
      <c r="H299" s="4385"/>
      <c r="I299" s="4385"/>
      <c r="J299" s="4385"/>
      <c r="K299" s="4385"/>
      <c r="L299" s="4385"/>
      <c r="M299" s="4385"/>
      <c r="N299" s="4385"/>
      <c r="O299" s="84" t="s">
        <v>6624</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1513</v>
      </c>
      <c r="C300" s="4385" t="s">
        <v>6625</v>
      </c>
      <c r="D300" s="4385"/>
      <c r="E300" s="4385"/>
      <c r="F300" s="4385"/>
      <c r="G300" s="4385"/>
      <c r="H300" s="4385"/>
      <c r="I300" s="4385"/>
      <c r="J300" s="4385"/>
      <c r="K300" s="4385"/>
      <c r="L300" s="4385"/>
      <c r="M300" s="4385"/>
      <c r="N300" s="4385"/>
      <c r="O300" s="84" t="s">
        <v>6626</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1514</v>
      </c>
      <c r="C301" s="4385" t="s">
        <v>6627</v>
      </c>
      <c r="D301" s="4385"/>
      <c r="E301" s="4385"/>
      <c r="F301" s="4385"/>
      <c r="G301" s="4385"/>
      <c r="H301" s="4385"/>
      <c r="I301" s="4385"/>
      <c r="J301" s="4385"/>
      <c r="K301" s="4385"/>
      <c r="L301" s="4385"/>
      <c r="M301" s="4385"/>
      <c r="N301" s="4385"/>
      <c r="O301" s="84" t="s">
        <v>6628</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1515</v>
      </c>
      <c r="C302" s="4385" t="s">
        <v>6629</v>
      </c>
      <c r="D302" s="4385"/>
      <c r="E302" s="4385"/>
      <c r="F302" s="4385"/>
      <c r="G302" s="4385"/>
      <c r="H302" s="4385"/>
      <c r="I302" s="4385"/>
      <c r="J302" s="4385"/>
      <c r="K302" s="4385"/>
      <c r="L302" s="4385"/>
      <c r="M302" s="4385"/>
      <c r="N302" s="4385"/>
      <c r="O302" s="84" t="s">
        <v>6630</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1456</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82"/>
      <c r="B304" s="4383"/>
      <c r="C304" s="4383"/>
      <c r="D304" s="4383"/>
      <c r="E304" s="4383"/>
      <c r="F304" s="4383"/>
      <c r="G304" s="4383"/>
      <c r="H304" s="4383"/>
      <c r="I304" s="4383"/>
      <c r="J304" s="4383"/>
      <c r="K304" s="4383"/>
      <c r="L304" s="4383"/>
      <c r="M304" s="4383"/>
      <c r="N304" s="4383"/>
      <c r="O304" s="4383"/>
      <c r="P304" s="4383"/>
      <c r="Q304" s="4384"/>
      <c r="R304" s="248" t="s">
        <v>6410</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1452</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6"/>
      <c r="B306" s="4387"/>
      <c r="C306" s="4387"/>
      <c r="D306" s="4387"/>
      <c r="E306" s="4387"/>
      <c r="F306" s="4387"/>
      <c r="G306" s="4387"/>
      <c r="H306" s="4387"/>
      <c r="I306" s="4387"/>
      <c r="J306" s="4387"/>
      <c r="K306" s="4387"/>
      <c r="L306" s="4387"/>
      <c r="M306" s="4387"/>
      <c r="N306" s="4387"/>
      <c r="O306" s="4387"/>
      <c r="P306" s="4387"/>
      <c r="Q306" s="4388"/>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21" t="s">
        <v>1557</v>
      </c>
      <c r="B307" s="3" t="s">
        <v>1549</v>
      </c>
      <c r="C307" s="3"/>
      <c r="D307" s="3"/>
      <c r="E307" s="3"/>
      <c r="F307" s="3"/>
      <c r="G307" s="3"/>
      <c r="H307" s="2586"/>
      <c r="I307" s="2586"/>
      <c r="J307" s="2586"/>
      <c r="K307" s="2586"/>
      <c r="L307" s="2586"/>
      <c r="M307" s="2586"/>
      <c r="N307" s="77"/>
      <c r="O307" s="66" t="s">
        <v>1450</v>
      </c>
      <c r="P307" s="4448"/>
      <c r="Q307" s="4449"/>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85" customHeight="1">
      <c r="A308" s="77"/>
      <c r="B308" s="25" t="s">
        <v>6631</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6632</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85" customHeight="1">
      <c r="A310" s="22"/>
      <c r="B310" s="16" t="s">
        <v>6633</v>
      </c>
      <c r="E310" s="16"/>
      <c r="F310" s="16"/>
      <c r="G310" s="16"/>
      <c r="H310" s="16"/>
      <c r="I310" s="43"/>
      <c r="J310" s="28"/>
      <c r="K310" s="4445" t="s">
        <v>720</v>
      </c>
      <c r="L310" s="4446"/>
      <c r="M310" s="4446"/>
      <c r="N310" s="4447"/>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85" customHeight="1">
      <c r="A311" s="75" t="s">
        <v>185</v>
      </c>
      <c r="B311" s="56" t="s">
        <v>6634</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85" t="s">
        <v>6635</v>
      </c>
      <c r="C312" s="4385"/>
      <c r="D312" s="4385"/>
      <c r="E312" s="4385"/>
      <c r="F312" s="4385"/>
      <c r="G312" s="4385"/>
      <c r="H312" s="4385"/>
      <c r="I312" s="4385"/>
      <c r="J312" s="4385"/>
      <c r="K312" s="4385"/>
      <c r="L312" s="4385"/>
      <c r="M312" s="4385"/>
      <c r="N312" s="4385"/>
      <c r="O312" s="84" t="s">
        <v>185</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197</v>
      </c>
      <c r="B313" s="38" t="s">
        <v>1551</v>
      </c>
      <c r="C313" s="77"/>
      <c r="D313" s="38"/>
      <c r="E313" s="38"/>
      <c r="F313" s="38"/>
      <c r="G313" s="38"/>
      <c r="H313" s="38"/>
      <c r="I313" s="38"/>
      <c r="J313" s="38"/>
      <c r="K313" s="38"/>
      <c r="L313" s="38"/>
      <c r="M313" s="38"/>
      <c r="N313" s="77"/>
      <c r="O313" s="84" t="s">
        <v>197</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1510</v>
      </c>
      <c r="C314" s="73" t="s">
        <v>6636</v>
      </c>
      <c r="D314" s="77"/>
      <c r="E314" s="229"/>
      <c r="F314" s="229"/>
      <c r="G314" s="4494" t="s">
        <v>1553</v>
      </c>
      <c r="H314" s="4495"/>
      <c r="I314" s="4495"/>
      <c r="J314" s="4495"/>
      <c r="K314" s="4495"/>
      <c r="L314" s="4495"/>
      <c r="M314" s="4495"/>
      <c r="N314" s="4496"/>
      <c r="O314" s="84" t="s">
        <v>1510</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6637</v>
      </c>
    </row>
    <row r="315" spans="1:256 1523:1523" ht="23.25" customHeight="1">
      <c r="A315" s="77"/>
      <c r="B315" s="265" t="s">
        <v>1513</v>
      </c>
      <c r="C315" s="4385" t="s">
        <v>6638</v>
      </c>
      <c r="D315" s="4385"/>
      <c r="E315" s="4385"/>
      <c r="F315" s="4450"/>
      <c r="G315" s="3521" t="s">
        <v>1555</v>
      </c>
      <c r="H315" s="4489"/>
      <c r="I315" s="4489"/>
      <c r="J315" s="4489"/>
      <c r="K315" s="4489"/>
      <c r="L315" s="4489"/>
      <c r="M315" s="4489"/>
      <c r="N315" s="4490"/>
      <c r="O315" s="84" t="s">
        <v>1513</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1514</v>
      </c>
      <c r="C317" s="1027" t="s">
        <v>6639</v>
      </c>
      <c r="D317" s="1026"/>
      <c r="E317" s="1026"/>
      <c r="F317" s="1026"/>
      <c r="G317" s="4527" t="s">
        <v>6640</v>
      </c>
      <c r="H317" s="4527"/>
      <c r="I317" s="4527"/>
      <c r="J317" s="4527"/>
      <c r="K317" s="4527"/>
      <c r="L317" s="4527"/>
      <c r="M317" s="4527"/>
      <c r="N317" s="4527"/>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6477</v>
      </c>
      <c r="C318" s="4411"/>
      <c r="D318" s="4412"/>
      <c r="E318" s="4412"/>
      <c r="F318" s="4412"/>
      <c r="G318" s="4412"/>
      <c r="H318" s="4412"/>
      <c r="I318" s="4412"/>
      <c r="J318" s="4412"/>
      <c r="K318" s="4412"/>
      <c r="L318" s="4412"/>
      <c r="M318" s="4412"/>
      <c r="N318" s="4413"/>
      <c r="O318" s="84" t="s">
        <v>6641</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6479</v>
      </c>
      <c r="C319" s="4431"/>
      <c r="D319" s="4432"/>
      <c r="E319" s="4432"/>
      <c r="F319" s="4432"/>
      <c r="G319" s="4432"/>
      <c r="H319" s="4432"/>
      <c r="I319" s="4432"/>
      <c r="J319" s="4432"/>
      <c r="K319" s="4432"/>
      <c r="L319" s="4432"/>
      <c r="M319" s="4432"/>
      <c r="N319" s="4433"/>
      <c r="O319" s="84" t="s">
        <v>6642</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220</v>
      </c>
      <c r="B320" s="4385" t="s">
        <v>6643</v>
      </c>
      <c r="C320" s="4385"/>
      <c r="D320" s="4385"/>
      <c r="E320" s="4385"/>
      <c r="F320" s="4385"/>
      <c r="G320" s="4385"/>
      <c r="H320" s="4385"/>
      <c r="I320" s="4385"/>
      <c r="J320" s="4385"/>
      <c r="K320" s="4385"/>
      <c r="L320" s="4385"/>
      <c r="M320" s="4385"/>
      <c r="N320" s="4385"/>
      <c r="O320" s="84" t="s">
        <v>220</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1456</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85" customHeight="1">
      <c r="A323" s="4382"/>
      <c r="B323" s="4383"/>
      <c r="C323" s="4383"/>
      <c r="D323" s="4383"/>
      <c r="E323" s="4383"/>
      <c r="F323" s="4383"/>
      <c r="G323" s="4383"/>
      <c r="H323" s="4383"/>
      <c r="I323" s="4383"/>
      <c r="J323" s="4383"/>
      <c r="K323" s="4383"/>
      <c r="L323" s="4383"/>
      <c r="M323" s="4383"/>
      <c r="N323" s="4383"/>
      <c r="O323" s="4383"/>
      <c r="P323" s="4383"/>
      <c r="Q323" s="4384"/>
      <c r="R323" s="259" t="s">
        <v>6410</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1452</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85" customHeight="1">
      <c r="A325" s="4386"/>
      <c r="B325" s="4387"/>
      <c r="C325" s="4387"/>
      <c r="D325" s="4387"/>
      <c r="E325" s="4387"/>
      <c r="F325" s="4387"/>
      <c r="G325" s="4387"/>
      <c r="H325" s="4387"/>
      <c r="I325" s="4387"/>
      <c r="J325" s="4387"/>
      <c r="K325" s="4387"/>
      <c r="L325" s="4387"/>
      <c r="M325" s="4387"/>
      <c r="N325" s="4387"/>
      <c r="O325" s="4387"/>
      <c r="P325" s="4387"/>
      <c r="Q325" s="4388"/>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21" t="s">
        <v>1565</v>
      </c>
      <c r="B326" s="104" t="s">
        <v>6644</v>
      </c>
      <c r="C326" s="2521"/>
      <c r="D326" s="2586"/>
      <c r="E326" s="2586"/>
      <c r="F326" s="2586"/>
      <c r="G326" s="2586"/>
      <c r="H326" s="2586"/>
      <c r="I326" s="77"/>
      <c r="J326" s="77"/>
      <c r="K326" s="77"/>
      <c r="L326" s="77"/>
      <c r="M326" s="77"/>
      <c r="N326" s="621" t="s">
        <v>6462</v>
      </c>
      <c r="O326" s="66" t="s">
        <v>1450</v>
      </c>
      <c r="P326" s="4401"/>
      <c r="Q326" s="4390"/>
      <c r="R326" s="623" t="s">
        <v>6463</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85" customHeight="1">
      <c r="A327" s="22" t="s">
        <v>185</v>
      </c>
      <c r="B327" s="25" t="s">
        <v>6645</v>
      </c>
      <c r="C327" s="77"/>
      <c r="D327" s="77"/>
      <c r="E327" s="77"/>
      <c r="F327" s="77"/>
      <c r="G327" s="77"/>
      <c r="H327" s="77"/>
      <c r="I327" s="77"/>
      <c r="J327" s="77"/>
      <c r="K327" s="77"/>
      <c r="L327" s="77"/>
      <c r="M327" s="77"/>
      <c r="N327" s="77"/>
      <c r="O327" s="84" t="s">
        <v>185</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85" customHeight="1">
      <c r="A328" s="75" t="s">
        <v>197</v>
      </c>
      <c r="B328" s="25" t="s">
        <v>6646</v>
      </c>
      <c r="C328" s="77"/>
      <c r="D328" s="77"/>
      <c r="E328" s="77"/>
      <c r="F328" s="77"/>
      <c r="G328" s="77"/>
      <c r="H328" s="77"/>
      <c r="I328" s="77"/>
      <c r="J328" s="77"/>
      <c r="K328" s="77"/>
      <c r="L328" s="77"/>
      <c r="M328" s="77"/>
      <c r="N328" s="77"/>
      <c r="O328" s="84" t="s">
        <v>197</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85" customHeight="1">
      <c r="A329" s="75" t="s">
        <v>218</v>
      </c>
      <c r="B329" s="25" t="s">
        <v>6647</v>
      </c>
      <c r="C329" s="77"/>
      <c r="D329" s="77"/>
      <c r="E329" s="77"/>
      <c r="F329" s="77"/>
      <c r="G329" s="77"/>
      <c r="H329" s="77"/>
      <c r="I329" s="77"/>
      <c r="J329" s="77"/>
      <c r="K329" s="143"/>
      <c r="L329" s="77"/>
      <c r="M329" s="84" t="s">
        <v>218</v>
      </c>
      <c r="N329" s="4497" t="s">
        <v>720</v>
      </c>
      <c r="O329" s="4498"/>
      <c r="P329" s="4499" t="s">
        <v>720</v>
      </c>
      <c r="Q329" s="4500"/>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85" customHeight="1">
      <c r="A330" s="22" t="s">
        <v>220</v>
      </c>
      <c r="B330" s="25" t="s">
        <v>6648</v>
      </c>
      <c r="C330" s="77"/>
      <c r="D330" s="77"/>
      <c r="E330" s="77"/>
      <c r="F330" s="77"/>
      <c r="G330" s="77"/>
      <c r="H330" s="77"/>
      <c r="I330" s="77"/>
      <c r="J330" s="77"/>
      <c r="K330" s="77"/>
      <c r="L330" s="77"/>
      <c r="M330" s="77"/>
      <c r="N330" s="77"/>
      <c r="O330" s="28" t="s">
        <v>220</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85" customHeight="1">
      <c r="A331" s="75" t="s">
        <v>227</v>
      </c>
      <c r="B331" s="25" t="s">
        <v>6649</v>
      </c>
      <c r="C331" s="77"/>
      <c r="D331" s="77"/>
      <c r="E331" s="77"/>
      <c r="F331" s="77"/>
      <c r="G331" s="77"/>
      <c r="H331" s="77"/>
      <c r="I331" s="77"/>
      <c r="J331" s="77"/>
      <c r="K331" s="77"/>
      <c r="L331" s="77"/>
      <c r="M331" s="77"/>
      <c r="N331" s="84" t="s">
        <v>227</v>
      </c>
      <c r="O331" s="4491" t="s">
        <v>70</v>
      </c>
      <c r="P331" s="4492"/>
      <c r="Q331" s="4493"/>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85" customHeight="1">
      <c r="A332" s="75" t="s">
        <v>229</v>
      </c>
      <c r="B332" s="39" t="s">
        <v>6650</v>
      </c>
      <c r="C332" s="77"/>
      <c r="D332" s="77"/>
      <c r="E332" s="77"/>
      <c r="F332" s="77"/>
      <c r="G332" s="77"/>
      <c r="H332" s="77"/>
      <c r="I332" s="77"/>
      <c r="J332" s="77"/>
      <c r="K332" s="77"/>
      <c r="L332" s="77"/>
      <c r="M332" s="77"/>
      <c r="N332" s="84" t="s">
        <v>229</v>
      </c>
      <c r="O332" s="4451" t="s">
        <v>70</v>
      </c>
      <c r="P332" s="4452"/>
      <c r="Q332" s="4453"/>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1456</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82"/>
      <c r="B334" s="4383"/>
      <c r="C334" s="4383"/>
      <c r="D334" s="4383"/>
      <c r="E334" s="4383"/>
      <c r="F334" s="4383"/>
      <c r="G334" s="4383"/>
      <c r="H334" s="4383"/>
      <c r="I334" s="4383"/>
      <c r="J334" s="4383"/>
      <c r="K334" s="4383"/>
      <c r="L334" s="4383"/>
      <c r="M334" s="4383"/>
      <c r="N334" s="4383"/>
      <c r="O334" s="4383"/>
      <c r="P334" s="4383"/>
      <c r="Q334" s="4384"/>
      <c r="R334" s="248" t="s">
        <v>6410</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1452</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86"/>
      <c r="B336" s="4387"/>
      <c r="C336" s="4387"/>
      <c r="D336" s="4387"/>
      <c r="E336" s="4387"/>
      <c r="F336" s="4387"/>
      <c r="G336" s="4387"/>
      <c r="H336" s="4387"/>
      <c r="I336" s="4387"/>
      <c r="J336" s="4387"/>
      <c r="K336" s="4387"/>
      <c r="L336" s="4387"/>
      <c r="M336" s="4387"/>
      <c r="N336" s="4387"/>
      <c r="O336" s="4387"/>
      <c r="P336" s="4387"/>
      <c r="Q336" s="4388"/>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21" t="s">
        <v>1577</v>
      </c>
      <c r="B338" s="3" t="s">
        <v>1566</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1450</v>
      </c>
      <c r="P338" s="4401"/>
      <c r="Q338" s="4390"/>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21"/>
      <c r="B339" s="13" t="s">
        <v>6651</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21"/>
      <c r="B340" s="13" t="s">
        <v>6652</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185</v>
      </c>
      <c r="B341" s="4385" t="s">
        <v>6653</v>
      </c>
      <c r="C341" s="4385"/>
      <c r="D341" s="4385"/>
      <c r="E341" s="4385"/>
      <c r="F341" s="4385"/>
      <c r="G341" s="4385"/>
      <c r="H341" s="4385"/>
      <c r="I341" s="4385"/>
      <c r="J341" s="4385"/>
      <c r="K341" s="4385"/>
      <c r="L341" s="4385"/>
      <c r="M341" s="4385"/>
      <c r="N341" s="4385"/>
      <c r="O341" s="84" t="s">
        <v>185</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1510</v>
      </c>
      <c r="C342" s="13" t="s">
        <v>6654</v>
      </c>
      <c r="D342" s="13"/>
      <c r="E342" s="13"/>
      <c r="F342" s="13"/>
      <c r="G342" s="13"/>
      <c r="H342" s="13"/>
      <c r="I342" s="13"/>
      <c r="J342" s="13"/>
      <c r="K342" s="43"/>
      <c r="L342" s="43"/>
      <c r="M342" s="43"/>
      <c r="N342" s="43"/>
      <c r="O342" s="28" t="s">
        <v>6540</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1231</v>
      </c>
      <c r="D343" s="13"/>
      <c r="E343" s="1028" t="e">
        <f>#REF!</f>
        <v>#REF!</v>
      </c>
      <c r="F343" s="13" t="s">
        <v>6655</v>
      </c>
      <c r="G343" s="1029" t="e">
        <f>#REF!</f>
        <v>#REF!</v>
      </c>
      <c r="H343" s="43"/>
      <c r="I343" s="13" t="s">
        <v>1241</v>
      </c>
      <c r="J343" s="43"/>
      <c r="K343" s="43"/>
      <c r="L343" s="1028" t="e">
        <f>#REF!</f>
        <v>#REF!</v>
      </c>
      <c r="M343" s="28" t="s">
        <v>6656</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197</v>
      </c>
      <c r="B344" s="4385" t="s">
        <v>6657</v>
      </c>
      <c r="C344" s="4385"/>
      <c r="D344" s="4385"/>
      <c r="E344" s="4385"/>
      <c r="F344" s="4385"/>
      <c r="G344" s="4385"/>
      <c r="H344" s="4385"/>
      <c r="I344" s="4385"/>
      <c r="J344" s="4385"/>
      <c r="K344" s="4385"/>
      <c r="L344" s="4385"/>
      <c r="M344" s="4385"/>
      <c r="N344" s="4385"/>
      <c r="O344" s="84" t="s">
        <v>197</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1231</v>
      </c>
      <c r="D345" s="13"/>
      <c r="E345" s="1028" t="e">
        <f>#REF!</f>
        <v>#REF!</v>
      </c>
      <c r="F345" s="13" t="s">
        <v>6658</v>
      </c>
      <c r="H345" s="43"/>
      <c r="L345" s="2927"/>
      <c r="M345" s="28" t="s">
        <v>6656</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218</v>
      </c>
      <c r="B346" s="4385" t="s">
        <v>6659</v>
      </c>
      <c r="C346" s="4385"/>
      <c r="D346" s="4385"/>
      <c r="E346" s="4385"/>
      <c r="F346" s="4385"/>
      <c r="G346" s="4385"/>
      <c r="H346" s="4385"/>
      <c r="I346" s="4385"/>
      <c r="J346" s="4385"/>
      <c r="K346" s="4385"/>
      <c r="L346" s="4385"/>
      <c r="M346" s="4385"/>
      <c r="N346" s="4385"/>
      <c r="O346" s="84" t="s">
        <v>218</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20"/>
      <c r="B347" s="263" t="s">
        <v>1510</v>
      </c>
      <c r="C347" s="25" t="s">
        <v>6660</v>
      </c>
      <c r="D347" s="6"/>
      <c r="E347" s="6"/>
      <c r="F347" s="6"/>
      <c r="G347" s="6"/>
      <c r="H347" s="2588"/>
      <c r="I347" s="2588"/>
      <c r="J347" s="2588"/>
      <c r="K347" s="2588"/>
      <c r="L347" s="2588"/>
      <c r="M347" s="2588"/>
      <c r="N347" s="1230"/>
      <c r="O347" s="28" t="s">
        <v>6594</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1231</v>
      </c>
      <c r="D348" s="13"/>
      <c r="E348" s="1028" t="e">
        <f>#REF!</f>
        <v>#REF!</v>
      </c>
      <c r="F348" s="13" t="s">
        <v>6655</v>
      </c>
      <c r="G348" s="1029" t="e">
        <f>#REF!</f>
        <v>#REF!</v>
      </c>
      <c r="H348" s="43"/>
      <c r="I348" s="13" t="s">
        <v>1241</v>
      </c>
      <c r="J348" s="43"/>
      <c r="K348" s="43"/>
      <c r="L348" s="1028" t="e">
        <f>#REF!</f>
        <v>#REF!</v>
      </c>
      <c r="M348" s="28" t="s">
        <v>6656</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1456</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82"/>
      <c r="B350" s="4383"/>
      <c r="C350" s="4383"/>
      <c r="D350" s="4383"/>
      <c r="E350" s="4383"/>
      <c r="F350" s="4383"/>
      <c r="G350" s="4383"/>
      <c r="H350" s="4383"/>
      <c r="I350" s="4383"/>
      <c r="J350" s="4383"/>
      <c r="K350" s="4383"/>
      <c r="L350" s="4383"/>
      <c r="M350" s="4383"/>
      <c r="N350" s="4383"/>
      <c r="O350" s="4383"/>
      <c r="P350" s="4383"/>
      <c r="Q350" s="4384"/>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1452</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6"/>
      <c r="B352" s="4387"/>
      <c r="C352" s="4387"/>
      <c r="D352" s="4387"/>
      <c r="E352" s="4387"/>
      <c r="F352" s="4387"/>
      <c r="G352" s="4387"/>
      <c r="H352" s="4387"/>
      <c r="I352" s="4387"/>
      <c r="J352" s="4387"/>
      <c r="K352" s="4387"/>
      <c r="L352" s="4387"/>
      <c r="M352" s="4387"/>
      <c r="N352" s="4387"/>
      <c r="O352" s="4387"/>
      <c r="P352" s="4387"/>
      <c r="Q352" s="4388"/>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 customHeight="1">
      <c r="A354" s="2521" t="s">
        <v>1582</v>
      </c>
      <c r="B354" s="3" t="s">
        <v>1578</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1450</v>
      </c>
      <c r="P354" s="4389"/>
      <c r="Q354" s="4390"/>
      <c r="R354" s="77"/>
      <c r="S354" s="77"/>
      <c r="T354" s="77"/>
      <c r="U354" s="77"/>
      <c r="V354" s="77"/>
      <c r="W354" s="77"/>
      <c r="X354" s="77"/>
      <c r="Y354" s="77"/>
      <c r="Z354" s="77"/>
      <c r="AA354" s="77"/>
      <c r="AB354" s="77"/>
      <c r="AC354" s="77"/>
      <c r="AD354" s="77"/>
      <c r="AE354" s="77"/>
    </row>
    <row r="355" spans="1:31" ht="10.5" customHeight="1">
      <c r="A355" s="22" t="s">
        <v>185</v>
      </c>
      <c r="B355" s="13" t="s">
        <v>1579</v>
      </c>
      <c r="C355" s="77"/>
      <c r="D355" s="78"/>
      <c r="E355" s="78"/>
      <c r="F355" s="78"/>
      <c r="G355" s="78"/>
      <c r="H355" s="28" t="s">
        <v>185</v>
      </c>
      <c r="I355" s="4394"/>
      <c r="J355" s="4395"/>
      <c r="K355" s="4395"/>
      <c r="L355" s="4395"/>
      <c r="M355" s="4395"/>
      <c r="N355" s="4395"/>
      <c r="O355" s="4395"/>
      <c r="P355" s="4396"/>
      <c r="Q355" s="2899"/>
      <c r="R355" s="77"/>
      <c r="S355" s="77"/>
      <c r="T355" s="77"/>
      <c r="U355" s="77"/>
      <c r="V355" s="77"/>
      <c r="W355" s="77"/>
      <c r="X355" s="77"/>
      <c r="Y355" s="77"/>
      <c r="Z355" s="77"/>
      <c r="AA355" s="77"/>
      <c r="AB355" s="77"/>
      <c r="AC355" s="77"/>
      <c r="AD355" s="77"/>
      <c r="AE355" s="77"/>
    </row>
    <row r="356" spans="1:31" ht="10.5" customHeight="1">
      <c r="A356" s="75" t="s">
        <v>197</v>
      </c>
      <c r="B356" s="13" t="s">
        <v>1580</v>
      </c>
      <c r="C356" s="77"/>
      <c r="D356" s="78"/>
      <c r="E356" s="78"/>
      <c r="F356" s="78"/>
      <c r="G356" s="78"/>
      <c r="H356" s="84" t="s">
        <v>197</v>
      </c>
      <c r="I356" s="4391"/>
      <c r="J356" s="4392"/>
      <c r="K356" s="4392"/>
      <c r="L356" s="4392"/>
      <c r="M356" s="4392"/>
      <c r="N356" s="4392"/>
      <c r="O356" s="4392"/>
      <c r="P356" s="4393"/>
      <c r="Q356" s="300"/>
      <c r="R356" s="77"/>
      <c r="S356" s="77"/>
      <c r="T356" s="77"/>
      <c r="U356" s="77"/>
      <c r="V356" s="77"/>
      <c r="W356" s="77"/>
      <c r="X356" s="77"/>
      <c r="Y356" s="77"/>
      <c r="Z356" s="77"/>
      <c r="AA356" s="77"/>
      <c r="AB356" s="77"/>
      <c r="AC356" s="77"/>
      <c r="AD356" s="77"/>
      <c r="AE356" s="77"/>
    </row>
    <row r="357" spans="1:31" ht="21.75" customHeight="1">
      <c r="A357" s="75" t="s">
        <v>218</v>
      </c>
      <c r="B357" s="4525" t="s">
        <v>6661</v>
      </c>
      <c r="C357" s="4525"/>
      <c r="D357" s="4525"/>
      <c r="E357" s="4525"/>
      <c r="F357" s="4525"/>
      <c r="G357" s="4525"/>
      <c r="H357" s="4525"/>
      <c r="I357" s="4525"/>
      <c r="J357" s="4525"/>
      <c r="K357" s="4525"/>
      <c r="L357" s="4525"/>
      <c r="M357" s="4525"/>
      <c r="N357" s="4525"/>
      <c r="O357" s="84" t="s">
        <v>218</v>
      </c>
      <c r="P357" s="2600"/>
      <c r="Q357" s="2914"/>
      <c r="R357" s="77"/>
      <c r="S357" s="77"/>
      <c r="T357" s="77"/>
      <c r="U357" s="77"/>
      <c r="V357" s="77"/>
      <c r="W357" s="77"/>
      <c r="X357" s="77"/>
      <c r="Y357" s="77"/>
      <c r="Z357" s="77"/>
      <c r="AA357" s="77"/>
      <c r="AB357" s="77"/>
      <c r="AC357" s="77"/>
      <c r="AD357" s="77"/>
      <c r="AE357" s="77"/>
    </row>
    <row r="358" spans="1:31" ht="21.75" customHeight="1">
      <c r="A358" s="75" t="s">
        <v>220</v>
      </c>
      <c r="B358" s="4385" t="s">
        <v>6662</v>
      </c>
      <c r="C358" s="4385"/>
      <c r="D358" s="4385"/>
      <c r="E358" s="4385"/>
      <c r="F358" s="4385"/>
      <c r="G358" s="4385"/>
      <c r="H358" s="4385"/>
      <c r="I358" s="4385"/>
      <c r="J358" s="4385"/>
      <c r="K358" s="4385"/>
      <c r="L358" s="4385"/>
      <c r="M358" s="4385"/>
      <c r="N358" s="4385"/>
      <c r="O358" s="84" t="s">
        <v>220</v>
      </c>
      <c r="P358" s="2594"/>
      <c r="Q358" s="2592"/>
      <c r="R358" s="77"/>
      <c r="S358" s="77"/>
      <c r="T358" s="77"/>
      <c r="U358" s="77"/>
      <c r="V358" s="77"/>
      <c r="W358" s="77"/>
      <c r="X358" s="77"/>
      <c r="Y358" s="77"/>
      <c r="Z358" s="77"/>
      <c r="AA358" s="77"/>
      <c r="AB358" s="77"/>
      <c r="AC358" s="77"/>
      <c r="AD358" s="77"/>
      <c r="AE358" s="77"/>
    </row>
    <row r="359" spans="1:31" ht="10.5" customHeight="1">
      <c r="A359" s="75" t="s">
        <v>227</v>
      </c>
      <c r="B359" s="13" t="s">
        <v>6663</v>
      </c>
      <c r="C359" s="77"/>
      <c r="D359" s="13"/>
      <c r="E359" s="13"/>
      <c r="F359" s="13"/>
      <c r="G359" s="13"/>
      <c r="H359" s="13"/>
      <c r="I359" s="13"/>
      <c r="J359" s="13"/>
      <c r="K359" s="13"/>
      <c r="L359" s="13"/>
      <c r="M359" s="13"/>
      <c r="N359" s="77"/>
      <c r="O359" s="84" t="s">
        <v>227</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229</v>
      </c>
      <c r="B360" s="4385" t="s">
        <v>6664</v>
      </c>
      <c r="C360" s="4385"/>
      <c r="D360" s="4385"/>
      <c r="E360" s="4385"/>
      <c r="F360" s="4385"/>
      <c r="G360" s="4385"/>
      <c r="H360" s="4385"/>
      <c r="I360" s="4385"/>
      <c r="J360" s="4385"/>
      <c r="K360" s="4385"/>
      <c r="L360" s="4385"/>
      <c r="M360" s="4385"/>
      <c r="N360" s="4385"/>
      <c r="O360" s="84" t="s">
        <v>229</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6446</v>
      </c>
      <c r="B361" s="73" t="s">
        <v>6665</v>
      </c>
      <c r="C361" s="229"/>
      <c r="D361" s="329"/>
      <c r="E361" s="329"/>
      <c r="F361" s="329"/>
      <c r="G361" s="329"/>
      <c r="H361" s="329"/>
      <c r="I361" s="329"/>
      <c r="J361" s="329"/>
      <c r="K361" s="329"/>
      <c r="L361" s="329"/>
      <c r="M361" s="329"/>
      <c r="N361" s="329"/>
      <c r="O361" s="84" t="s">
        <v>6446</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6666</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6448</v>
      </c>
      <c r="B363" s="4385" t="s">
        <v>6667</v>
      </c>
      <c r="C363" s="4385"/>
      <c r="D363" s="4385"/>
      <c r="E363" s="4385"/>
      <c r="F363" s="4385"/>
      <c r="G363" s="4385"/>
      <c r="H363" s="4385"/>
      <c r="I363" s="4385"/>
      <c r="J363" s="4385"/>
      <c r="K363" s="4385"/>
      <c r="L363" s="4385"/>
      <c r="M363" s="4385"/>
      <c r="N363" s="4385"/>
      <c r="O363" s="84" t="s">
        <v>6448</v>
      </c>
      <c r="P363" s="2913"/>
      <c r="Q363" s="2914"/>
      <c r="R363" s="77"/>
      <c r="S363" s="77"/>
      <c r="T363" s="77"/>
      <c r="U363" s="77"/>
      <c r="V363" s="77"/>
      <c r="W363" s="77"/>
      <c r="X363" s="77"/>
      <c r="Y363" s="77"/>
      <c r="Z363" s="77"/>
      <c r="AA363" s="77"/>
      <c r="AB363" s="77"/>
      <c r="AC363" s="77"/>
      <c r="AD363" s="77"/>
      <c r="AE363" s="77"/>
    </row>
    <row r="364" spans="1:31" ht="33" customHeight="1">
      <c r="A364" s="75" t="s">
        <v>21</v>
      </c>
      <c r="B364" s="4385" t="s">
        <v>6668</v>
      </c>
      <c r="C364" s="4385"/>
      <c r="D364" s="4385"/>
      <c r="E364" s="4385"/>
      <c r="F364" s="4385"/>
      <c r="G364" s="4385"/>
      <c r="H364" s="4385"/>
      <c r="I364" s="4385"/>
      <c r="J364" s="4385"/>
      <c r="K364" s="4385"/>
      <c r="L364" s="4385"/>
      <c r="M364" s="4385"/>
      <c r="N364" s="4385"/>
      <c r="O364" s="84" t="s">
        <v>21</v>
      </c>
      <c r="P364" s="2595"/>
      <c r="Q364" s="2593"/>
      <c r="R364" s="77"/>
      <c r="S364" s="77"/>
      <c r="T364" s="77"/>
      <c r="U364" s="77"/>
      <c r="V364" s="77"/>
      <c r="W364" s="77"/>
      <c r="X364" s="77"/>
      <c r="Y364" s="77"/>
      <c r="Z364" s="77"/>
      <c r="AA364" s="77"/>
      <c r="AB364" s="77"/>
      <c r="AC364" s="77"/>
      <c r="AD364" s="77"/>
      <c r="AE364" s="77"/>
    </row>
    <row r="365" spans="1:31" ht="10.5" customHeight="1">
      <c r="A365" s="77"/>
      <c r="B365" s="74" t="s">
        <v>1456</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82"/>
      <c r="B366" s="4383"/>
      <c r="C366" s="4383"/>
      <c r="D366" s="4383"/>
      <c r="E366" s="4383"/>
      <c r="F366" s="4383"/>
      <c r="G366" s="4383"/>
      <c r="H366" s="4383"/>
      <c r="I366" s="4383"/>
      <c r="J366" s="4383"/>
      <c r="K366" s="4383"/>
      <c r="L366" s="4383"/>
      <c r="M366" s="4383"/>
      <c r="N366" s="4383"/>
      <c r="O366" s="4383"/>
      <c r="P366" s="4383"/>
      <c r="Q366" s="4384"/>
      <c r="R366" s="77"/>
      <c r="S366" s="77"/>
      <c r="T366" s="77"/>
      <c r="U366" s="69"/>
      <c r="V366" s="69"/>
      <c r="W366" s="69"/>
      <c r="X366" s="69"/>
      <c r="Y366" s="69"/>
      <c r="Z366" s="69"/>
      <c r="AA366" s="69"/>
      <c r="AB366" s="69"/>
      <c r="AC366" s="69"/>
      <c r="AD366" s="69"/>
      <c r="AE366" s="69"/>
    </row>
    <row r="367" spans="1:31" ht="10.5" customHeight="1">
      <c r="A367" s="77"/>
      <c r="B367" s="70" t="s">
        <v>1452</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86"/>
      <c r="B368" s="4387"/>
      <c r="C368" s="4387"/>
      <c r="D368" s="4387"/>
      <c r="E368" s="4387"/>
      <c r="F368" s="4387"/>
      <c r="G368" s="4387"/>
      <c r="H368" s="4387"/>
      <c r="I368" s="4387"/>
      <c r="J368" s="4387"/>
      <c r="K368" s="4387"/>
      <c r="L368" s="4387"/>
      <c r="M368" s="4387"/>
      <c r="N368" s="4387"/>
      <c r="O368" s="4387"/>
      <c r="P368" s="4387"/>
      <c r="Q368" s="4388"/>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 customHeight="1">
      <c r="A371" s="2521" t="s">
        <v>1587</v>
      </c>
      <c r="B371" s="3" t="s">
        <v>6669</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1450</v>
      </c>
      <c r="P371" s="4401"/>
      <c r="Q371" s="4390"/>
      <c r="R371" s="77"/>
      <c r="S371" s="77"/>
      <c r="T371" s="77"/>
      <c r="U371" s="77"/>
      <c r="V371" s="77"/>
      <c r="W371" s="77"/>
      <c r="X371" s="77"/>
      <c r="Y371" s="77"/>
      <c r="Z371" s="77"/>
      <c r="AA371" s="77"/>
      <c r="AB371" s="77"/>
      <c r="AC371" s="77"/>
      <c r="AD371" s="77"/>
      <c r="AE371" s="77"/>
    </row>
    <row r="372" spans="1:31" ht="11.85" customHeight="1">
      <c r="A372" s="22" t="s">
        <v>185</v>
      </c>
      <c r="B372" s="13" t="s">
        <v>6670</v>
      </c>
      <c r="C372" s="77"/>
      <c r="D372" s="77"/>
      <c r="E372" s="4445"/>
      <c r="F372" s="4446"/>
      <c r="G372" s="4446"/>
      <c r="H372" s="4446"/>
      <c r="I372" s="4447"/>
      <c r="J372" s="4508" t="s">
        <v>6671</v>
      </c>
      <c r="K372" s="4509"/>
      <c r="L372" s="4510"/>
      <c r="M372" s="4445"/>
      <c r="N372" s="4446"/>
      <c r="O372" s="4446"/>
      <c r="P372" s="4446"/>
      <c r="Q372" s="4447"/>
      <c r="R372" s="77"/>
      <c r="S372" s="77"/>
      <c r="T372" s="77"/>
      <c r="U372" s="77"/>
      <c r="V372" s="77"/>
      <c r="W372" s="77"/>
      <c r="X372" s="77"/>
      <c r="Y372" s="77"/>
      <c r="Z372" s="77"/>
      <c r="AA372" s="77"/>
      <c r="AB372" s="77"/>
      <c r="AC372" s="77"/>
      <c r="AD372" s="77"/>
      <c r="AE372" s="77"/>
    </row>
    <row r="373" spans="1:31" s="67" customFormat="1" ht="22.5" customHeight="1">
      <c r="A373" s="75" t="s">
        <v>197</v>
      </c>
      <c r="B373" s="4385" t="s">
        <v>6672</v>
      </c>
      <c r="C373" s="4385"/>
      <c r="D373" s="4385"/>
      <c r="E373" s="4385"/>
      <c r="F373" s="4385"/>
      <c r="G373" s="4385"/>
      <c r="H373" s="4385"/>
      <c r="I373" s="4385"/>
      <c r="J373" s="4385"/>
      <c r="K373" s="4385"/>
      <c r="L373" s="4385"/>
      <c r="M373" s="4385"/>
      <c r="N373" s="4385"/>
      <c r="O373" s="84" t="s">
        <v>197</v>
      </c>
      <c r="P373" s="2594"/>
      <c r="Q373" s="2592"/>
      <c r="R373" s="229"/>
      <c r="S373" s="229"/>
      <c r="T373" s="229"/>
      <c r="U373" s="229"/>
      <c r="V373" s="229"/>
      <c r="W373" s="229"/>
      <c r="X373" s="229"/>
      <c r="Y373" s="229"/>
      <c r="Z373" s="229"/>
      <c r="AA373" s="229"/>
      <c r="AB373" s="229"/>
      <c r="AC373" s="229"/>
      <c r="AD373" s="229"/>
      <c r="AE373" s="229"/>
    </row>
    <row r="374" spans="1:31">
      <c r="A374" s="75" t="s">
        <v>218</v>
      </c>
      <c r="B374" s="25" t="s">
        <v>6673</v>
      </c>
      <c r="C374" s="77"/>
      <c r="D374" s="77"/>
      <c r="E374" s="77"/>
      <c r="F374" s="77"/>
      <c r="G374" s="2590"/>
      <c r="H374" s="2590"/>
      <c r="I374" s="2590"/>
      <c r="J374" s="16" t="s">
        <v>6674</v>
      </c>
      <c r="K374" s="77"/>
      <c r="L374" s="2590"/>
      <c r="M374" s="4511" t="e">
        <f>#REF!</f>
        <v>#REF!</v>
      </c>
      <c r="N374" s="4512"/>
      <c r="O374" s="84" t="s">
        <v>218</v>
      </c>
      <c r="P374" s="118"/>
      <c r="Q374" s="300"/>
      <c r="R374" s="77"/>
      <c r="S374" s="77"/>
      <c r="T374" s="77"/>
      <c r="U374" s="77"/>
      <c r="V374" s="77"/>
      <c r="W374" s="77"/>
      <c r="X374" s="77"/>
      <c r="Y374" s="77"/>
      <c r="Z374" s="77"/>
      <c r="AA374" s="77"/>
      <c r="AB374" s="77"/>
      <c r="AC374" s="77"/>
      <c r="AD374" s="77"/>
      <c r="AE374" s="77"/>
    </row>
    <row r="375" spans="1:31" ht="11.25" customHeight="1">
      <c r="A375" s="77"/>
      <c r="B375" s="74" t="s">
        <v>1456</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85" customHeight="1">
      <c r="A376" s="4382"/>
      <c r="B376" s="4383"/>
      <c r="C376" s="4383"/>
      <c r="D376" s="4383"/>
      <c r="E376" s="4383"/>
      <c r="F376" s="4383"/>
      <c r="G376" s="4383"/>
      <c r="H376" s="4383"/>
      <c r="I376" s="4383"/>
      <c r="J376" s="4383"/>
      <c r="K376" s="4383"/>
      <c r="L376" s="4383"/>
      <c r="M376" s="4383"/>
      <c r="N376" s="4383"/>
      <c r="O376" s="4383"/>
      <c r="P376" s="4383"/>
      <c r="Q376" s="4384"/>
      <c r="R376" s="77"/>
      <c r="S376" s="77"/>
      <c r="T376" s="77"/>
      <c r="U376" s="69"/>
      <c r="V376" s="69"/>
      <c r="W376" s="69"/>
      <c r="X376" s="69"/>
      <c r="Y376" s="69"/>
      <c r="Z376" s="69"/>
      <c r="AA376" s="69"/>
      <c r="AB376" s="69"/>
      <c r="AC376" s="69"/>
      <c r="AD376" s="69"/>
      <c r="AE376" s="69"/>
    </row>
    <row r="377" spans="1:31" ht="11.25" customHeight="1">
      <c r="A377" s="77"/>
      <c r="B377" s="70" t="s">
        <v>1452</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85" customHeight="1">
      <c r="A378" s="4386"/>
      <c r="B378" s="4387"/>
      <c r="C378" s="4387"/>
      <c r="D378" s="4387"/>
      <c r="E378" s="4387"/>
      <c r="F378" s="4387"/>
      <c r="G378" s="4387"/>
      <c r="H378" s="4387"/>
      <c r="I378" s="4387"/>
      <c r="J378" s="4387"/>
      <c r="K378" s="4387"/>
      <c r="L378" s="4387"/>
      <c r="M378" s="4387"/>
      <c r="N378" s="4387"/>
      <c r="O378" s="4387"/>
      <c r="P378" s="4387"/>
      <c r="Q378" s="4388"/>
      <c r="R378" s="77"/>
      <c r="S378" s="77"/>
      <c r="T378" s="77"/>
      <c r="U378" s="77"/>
      <c r="V378" s="77"/>
      <c r="W378" s="77"/>
      <c r="X378" s="77"/>
      <c r="Y378" s="77"/>
      <c r="Z378" s="77"/>
      <c r="AA378" s="77"/>
      <c r="AB378" s="77"/>
      <c r="AC378" s="77"/>
      <c r="AD378" s="77"/>
      <c r="AE378" s="77"/>
    </row>
    <row r="379" spans="1:31" ht="3.6"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 customHeight="1">
      <c r="A380" s="2521" t="s">
        <v>1593</v>
      </c>
      <c r="B380" s="3" t="s">
        <v>1583</v>
      </c>
      <c r="C380" s="3"/>
      <c r="D380" s="3"/>
      <c r="E380" s="2586"/>
      <c r="F380" s="77"/>
      <c r="G380" s="73" t="s">
        <v>1584</v>
      </c>
      <c r="H380" s="2586"/>
      <c r="I380" s="2586"/>
      <c r="J380" s="2586"/>
      <c r="K380" s="2586"/>
      <c r="L380" s="2586"/>
      <c r="M380" s="2586"/>
      <c r="N380" s="77"/>
      <c r="O380" s="66" t="s">
        <v>1450</v>
      </c>
      <c r="P380" s="4401"/>
      <c r="Q380" s="4504"/>
      <c r="R380" s="77"/>
      <c r="S380" s="77"/>
      <c r="T380" s="77"/>
      <c r="U380" s="77"/>
      <c r="V380" s="77"/>
      <c r="W380" s="77"/>
      <c r="X380" s="77"/>
      <c r="Y380" s="77"/>
      <c r="Z380" s="77"/>
      <c r="AA380" s="77"/>
      <c r="AB380" s="77"/>
      <c r="AC380" s="77"/>
      <c r="AD380" s="77"/>
      <c r="AE380" s="77"/>
    </row>
    <row r="381" spans="1:31" ht="12" customHeight="1">
      <c r="A381" s="22" t="s">
        <v>185</v>
      </c>
      <c r="B381" s="13" t="s">
        <v>1585</v>
      </c>
      <c r="C381" s="77"/>
      <c r="D381" s="329"/>
      <c r="E381" s="329"/>
      <c r="F381" s="77"/>
      <c r="G381" s="77"/>
      <c r="H381" s="77"/>
      <c r="I381" s="77"/>
      <c r="J381" s="77"/>
      <c r="K381" s="77"/>
      <c r="L381" s="77"/>
      <c r="M381" s="77"/>
      <c r="N381" s="77"/>
      <c r="O381" s="28" t="s">
        <v>185</v>
      </c>
      <c r="P381" s="2898"/>
      <c r="Q381" s="2899"/>
      <c r="R381" s="77"/>
      <c r="S381" s="77"/>
      <c r="T381" s="77"/>
      <c r="U381" s="77"/>
      <c r="V381" s="77"/>
      <c r="W381" s="77"/>
      <c r="X381" s="77"/>
      <c r="Y381" s="77"/>
      <c r="Z381" s="77"/>
      <c r="AA381" s="77"/>
      <c r="AB381" s="77"/>
      <c r="AC381" s="77"/>
      <c r="AD381" s="77"/>
      <c r="AE381" s="77"/>
    </row>
    <row r="382" spans="1:31" ht="12" customHeight="1">
      <c r="A382" s="22" t="s">
        <v>197</v>
      </c>
      <c r="B382" s="13" t="s">
        <v>1586</v>
      </c>
      <c r="C382" s="77"/>
      <c r="D382" s="329"/>
      <c r="E382" s="329"/>
      <c r="F382" s="77"/>
      <c r="G382" s="77"/>
      <c r="H382" s="77"/>
      <c r="I382" s="77"/>
      <c r="J382" s="77"/>
      <c r="K382" s="77"/>
      <c r="L382" s="77"/>
      <c r="M382" s="77"/>
      <c r="N382" s="77"/>
      <c r="O382" s="28" t="s">
        <v>197</v>
      </c>
      <c r="P382" s="202"/>
      <c r="Q382" s="299"/>
      <c r="R382" s="77"/>
      <c r="S382" s="77"/>
      <c r="T382" s="77"/>
      <c r="U382" s="77"/>
      <c r="V382" s="77"/>
      <c r="W382" s="77"/>
      <c r="X382" s="77"/>
      <c r="Y382" s="77"/>
      <c r="Z382" s="77"/>
      <c r="AA382" s="77"/>
      <c r="AB382" s="77"/>
      <c r="AC382" s="77"/>
      <c r="AD382" s="77"/>
      <c r="AE382" s="77"/>
    </row>
    <row r="383" spans="1:31" ht="12" customHeight="1">
      <c r="A383" s="22" t="s">
        <v>218</v>
      </c>
      <c r="B383" s="13" t="s">
        <v>6675</v>
      </c>
      <c r="C383" s="77"/>
      <c r="D383" s="329"/>
      <c r="E383" s="329"/>
      <c r="F383" s="77"/>
      <c r="G383" s="77"/>
      <c r="H383" s="77"/>
      <c r="I383" s="77"/>
      <c r="J383" s="77"/>
      <c r="K383" s="77"/>
      <c r="L383" s="77"/>
      <c r="M383" s="77"/>
      <c r="N383" s="77"/>
      <c r="O383" s="28" t="s">
        <v>218</v>
      </c>
      <c r="P383" s="202"/>
      <c r="Q383" s="299"/>
      <c r="R383" s="77"/>
      <c r="S383" s="77"/>
      <c r="T383" s="77"/>
      <c r="U383" s="77"/>
      <c r="V383" s="77"/>
      <c r="W383" s="77"/>
      <c r="X383" s="77"/>
      <c r="Y383" s="77"/>
      <c r="Z383" s="77"/>
      <c r="AA383" s="77"/>
      <c r="AB383" s="77"/>
      <c r="AC383" s="77"/>
      <c r="AD383" s="77"/>
      <c r="AE383" s="77"/>
    </row>
    <row r="384" spans="1:31" ht="12" customHeight="1">
      <c r="A384" s="22" t="s">
        <v>220</v>
      </c>
      <c r="B384" s="13" t="s">
        <v>6676</v>
      </c>
      <c r="C384" s="77"/>
      <c r="D384" s="77"/>
      <c r="E384" s="73"/>
      <c r="F384" s="77"/>
      <c r="G384" s="77"/>
      <c r="H384" s="77"/>
      <c r="I384" s="77"/>
      <c r="J384" s="77"/>
      <c r="K384" s="77"/>
      <c r="L384" s="77"/>
      <c r="M384" s="77"/>
      <c r="N384" s="77"/>
      <c r="O384" s="28" t="s">
        <v>220</v>
      </c>
      <c r="P384" s="202"/>
      <c r="Q384" s="299"/>
      <c r="R384" s="77"/>
      <c r="S384" s="77"/>
      <c r="T384" s="77"/>
      <c r="U384" s="77"/>
      <c r="V384" s="77"/>
      <c r="W384" s="77"/>
      <c r="X384" s="77"/>
      <c r="Y384" s="77"/>
      <c r="Z384" s="77"/>
      <c r="AA384" s="77"/>
      <c r="AB384" s="77"/>
      <c r="AC384" s="77"/>
      <c r="AD384" s="77"/>
      <c r="AE384" s="77"/>
    </row>
    <row r="385" spans="1:31" ht="12" customHeight="1">
      <c r="A385" s="22" t="s">
        <v>227</v>
      </c>
      <c r="B385" s="13" t="s">
        <v>6677</v>
      </c>
      <c r="C385" s="77"/>
      <c r="D385" s="77"/>
      <c r="E385" s="73"/>
      <c r="F385" s="77"/>
      <c r="G385" s="28" t="s">
        <v>227</v>
      </c>
      <c r="H385" s="4541"/>
      <c r="I385" s="4542"/>
      <c r="J385" s="4542"/>
      <c r="K385" s="4542"/>
      <c r="L385" s="4542"/>
      <c r="M385" s="4542"/>
      <c r="N385" s="4542"/>
      <c r="O385" s="4543"/>
      <c r="P385" s="118"/>
      <c r="Q385" s="300"/>
      <c r="R385" s="77"/>
      <c r="S385" s="77"/>
      <c r="T385" s="77"/>
      <c r="U385" s="77"/>
      <c r="V385" s="77"/>
      <c r="W385" s="77"/>
      <c r="X385" s="77"/>
      <c r="Y385" s="77"/>
      <c r="Z385" s="77"/>
      <c r="AA385" s="77"/>
      <c r="AB385" s="77"/>
      <c r="AC385" s="77"/>
      <c r="AD385" s="77"/>
      <c r="AE385" s="77"/>
    </row>
    <row r="386" spans="1:31" ht="11.25" customHeight="1">
      <c r="A386" s="77"/>
      <c r="B386" s="74" t="s">
        <v>1456</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85" customHeight="1">
      <c r="A387" s="4382"/>
      <c r="B387" s="4383"/>
      <c r="C387" s="4383"/>
      <c r="D387" s="4383"/>
      <c r="E387" s="4383"/>
      <c r="F387" s="4383"/>
      <c r="G387" s="4383"/>
      <c r="H387" s="4383"/>
      <c r="I387" s="4383"/>
      <c r="J387" s="4383"/>
      <c r="K387" s="4383"/>
      <c r="L387" s="4383"/>
      <c r="M387" s="4383"/>
      <c r="N387" s="4383"/>
      <c r="O387" s="4383"/>
      <c r="P387" s="4383"/>
      <c r="Q387" s="4384"/>
      <c r="R387" s="77"/>
      <c r="S387" s="77"/>
      <c r="T387" s="77"/>
      <c r="U387" s="69"/>
      <c r="V387" s="69"/>
      <c r="W387" s="69"/>
      <c r="X387" s="69"/>
      <c r="Y387" s="69"/>
      <c r="Z387" s="69"/>
      <c r="AA387" s="69"/>
      <c r="AB387" s="69"/>
      <c r="AC387" s="69"/>
      <c r="AD387" s="69"/>
      <c r="AE387" s="69"/>
    </row>
    <row r="388" spans="1:31" ht="11.25" customHeight="1">
      <c r="A388" s="77"/>
      <c r="B388" s="70" t="s">
        <v>1452</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85" customHeight="1">
      <c r="A389" s="4386"/>
      <c r="B389" s="4387"/>
      <c r="C389" s="4387"/>
      <c r="D389" s="4387"/>
      <c r="E389" s="4387"/>
      <c r="F389" s="4387"/>
      <c r="G389" s="4387"/>
      <c r="H389" s="4387"/>
      <c r="I389" s="4387"/>
      <c r="J389" s="4387"/>
      <c r="K389" s="4387"/>
      <c r="L389" s="4387"/>
      <c r="M389" s="4387"/>
      <c r="N389" s="4387"/>
      <c r="O389" s="4387"/>
      <c r="P389" s="4387"/>
      <c r="Q389" s="4388"/>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 customHeight="1">
      <c r="A391" s="2521" t="s">
        <v>1597</v>
      </c>
      <c r="B391" s="3" t="s">
        <v>1588</v>
      </c>
      <c r="C391" s="3"/>
      <c r="D391" s="3"/>
      <c r="E391" s="3"/>
      <c r="F391" s="3"/>
      <c r="G391" s="3"/>
      <c r="H391" s="2586"/>
      <c r="I391" s="2586"/>
      <c r="J391" s="2586"/>
      <c r="K391" s="2586"/>
      <c r="L391" s="2586"/>
      <c r="M391" s="2586"/>
      <c r="N391" s="77"/>
      <c r="O391" s="66" t="s">
        <v>1450</v>
      </c>
      <c r="P391" s="4401"/>
      <c r="Q391" s="4390"/>
      <c r="R391" s="77"/>
      <c r="S391" s="77"/>
      <c r="T391" s="77"/>
      <c r="U391" s="77"/>
      <c r="V391" s="77"/>
      <c r="W391" s="77"/>
      <c r="X391" s="77"/>
      <c r="Y391" s="77"/>
      <c r="Z391" s="77"/>
      <c r="AA391" s="77"/>
      <c r="AB391" s="77"/>
      <c r="AC391" s="77"/>
      <c r="AD391" s="77"/>
      <c r="AE391" s="77"/>
    </row>
    <row r="392" spans="1:31" ht="12" customHeight="1">
      <c r="A392" s="77"/>
      <c r="B392" s="25" t="s">
        <v>1589</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185</v>
      </c>
      <c r="B393" s="38" t="s">
        <v>6678</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200</v>
      </c>
      <c r="C394" s="25" t="s">
        <v>1590</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6679</v>
      </c>
      <c r="D395" s="25" t="s">
        <v>6680</v>
      </c>
      <c r="E395" s="43"/>
      <c r="F395" s="43"/>
      <c r="G395" s="43"/>
      <c r="H395" s="43"/>
      <c r="I395" s="43"/>
      <c r="J395" s="43"/>
      <c r="K395" s="43"/>
      <c r="L395" s="43"/>
      <c r="M395" s="43"/>
      <c r="N395" s="43"/>
      <c r="O395" s="28" t="s">
        <v>6679</v>
      </c>
      <c r="P395" s="4480"/>
      <c r="Q395" s="4478"/>
      <c r="R395" s="77"/>
      <c r="S395" s="77"/>
      <c r="T395" s="77"/>
      <c r="U395" s="77"/>
      <c r="V395" s="77"/>
      <c r="W395" s="77"/>
      <c r="X395" s="77"/>
      <c r="Y395" s="77"/>
      <c r="Z395" s="77"/>
      <c r="AA395" s="77"/>
      <c r="AB395" s="77"/>
      <c r="AC395" s="77"/>
      <c r="AD395" s="77"/>
      <c r="AE395" s="77"/>
    </row>
    <row r="396" spans="1:31" ht="12" customHeight="1">
      <c r="A396" s="22"/>
      <c r="B396" s="77"/>
      <c r="C396" s="77"/>
      <c r="D396" s="13" t="s">
        <v>6681</v>
      </c>
      <c r="E396" s="13"/>
      <c r="F396" s="13"/>
      <c r="G396" s="13"/>
      <c r="H396" s="13"/>
      <c r="I396" s="13"/>
      <c r="J396" s="13"/>
      <c r="K396" s="13"/>
      <c r="L396" s="13"/>
      <c r="M396" s="13"/>
      <c r="N396" s="43"/>
      <c r="O396" s="2381"/>
      <c r="P396" s="4481"/>
      <c r="Q396" s="4479"/>
      <c r="R396" s="77"/>
      <c r="S396" s="77"/>
      <c r="T396" s="77"/>
      <c r="U396" s="77"/>
      <c r="V396" s="77"/>
      <c r="W396" s="77"/>
      <c r="X396" s="77"/>
      <c r="Y396" s="77"/>
      <c r="Z396" s="77"/>
      <c r="AA396" s="77"/>
      <c r="AB396" s="77"/>
      <c r="AC396" s="77"/>
      <c r="AD396" s="77"/>
      <c r="AE396" s="77"/>
    </row>
    <row r="397" spans="1:31" ht="12" customHeight="1">
      <c r="A397" s="77"/>
      <c r="B397" s="77"/>
      <c r="C397" s="13" t="s">
        <v>6479</v>
      </c>
      <c r="D397" s="13" t="s">
        <v>6682</v>
      </c>
      <c r="E397" s="13"/>
      <c r="F397" s="13"/>
      <c r="G397" s="13"/>
      <c r="H397" s="13"/>
      <c r="I397" s="13"/>
      <c r="J397" s="13"/>
      <c r="K397" s="13"/>
      <c r="L397" s="13"/>
      <c r="M397" s="13"/>
      <c r="N397" s="43"/>
      <c r="O397" s="28" t="s">
        <v>6479</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6683</v>
      </c>
      <c r="D398" s="13" t="s">
        <v>6684</v>
      </c>
      <c r="E398" s="13"/>
      <c r="F398" s="13"/>
      <c r="G398" s="13"/>
      <c r="H398" s="13"/>
      <c r="I398" s="13"/>
      <c r="J398" s="13"/>
      <c r="K398" s="13"/>
      <c r="L398" s="13"/>
      <c r="M398" s="13"/>
      <c r="N398" s="43"/>
      <c r="O398" s="28" t="s">
        <v>6685</v>
      </c>
      <c r="P398" s="1193"/>
      <c r="Q398" s="2603"/>
    </row>
    <row r="399" spans="1:31" ht="12" customHeight="1">
      <c r="A399" s="22"/>
      <c r="B399" s="896" t="s">
        <v>208</v>
      </c>
      <c r="C399" s="13" t="s">
        <v>6686</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212</v>
      </c>
      <c r="C400" s="4385" t="s">
        <v>6687</v>
      </c>
      <c r="D400" s="4385"/>
      <c r="E400" s="4385"/>
      <c r="F400" s="4385"/>
      <c r="G400" s="13" t="s">
        <v>6688</v>
      </c>
      <c r="H400" s="77"/>
      <c r="I400" s="77"/>
      <c r="J400" s="2929"/>
      <c r="K400" s="2930"/>
      <c r="L400" s="77"/>
      <c r="M400" s="13" t="s">
        <v>6689</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85"/>
      <c r="D401" s="4385"/>
      <c r="E401" s="4385"/>
      <c r="F401" s="4385"/>
      <c r="G401" s="13" t="s">
        <v>6690</v>
      </c>
      <c r="H401" s="77"/>
      <c r="I401" s="77"/>
      <c r="J401" s="523"/>
      <c r="K401" s="302"/>
      <c r="L401" s="77"/>
      <c r="M401" s="13" t="s">
        <v>6691</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85"/>
      <c r="D402" s="4385"/>
      <c r="E402" s="4385"/>
      <c r="F402" s="4385"/>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441" t="s">
        <v>6692</v>
      </c>
      <c r="J403" s="4441" t="s">
        <v>6693</v>
      </c>
      <c r="K403" s="4441" t="s">
        <v>6694</v>
      </c>
      <c r="L403" s="4441"/>
      <c r="M403" s="4441"/>
      <c r="N403" s="4513" t="s">
        <v>6695</v>
      </c>
      <c r="O403" s="28"/>
      <c r="P403" s="4377" t="s">
        <v>6696</v>
      </c>
      <c r="Q403" s="4377"/>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442"/>
      <c r="J404" s="4441"/>
      <c r="K404" s="4441"/>
      <c r="L404" s="4441"/>
      <c r="M404" s="4441"/>
      <c r="N404" s="4514"/>
      <c r="O404" s="28"/>
      <c r="P404" s="4378"/>
      <c r="Q404" s="4378"/>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85" t="s">
        <v>6697</v>
      </c>
      <c r="D405" s="4385"/>
      <c r="E405" s="4385"/>
      <c r="F405" s="4385"/>
      <c r="G405" s="4385"/>
      <c r="H405" s="4385"/>
      <c r="I405" s="258">
        <f>K290</f>
        <v>0</v>
      </c>
      <c r="J405" s="2931"/>
      <c r="K405" s="4515"/>
      <c r="L405" s="4515"/>
      <c r="M405" s="4516"/>
      <c r="N405" s="1065">
        <f>MAX(J405,K405)</f>
        <v>0</v>
      </c>
      <c r="O405" s="28" t="s">
        <v>6698</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85"/>
      <c r="D406" s="4385"/>
      <c r="E406" s="4385"/>
      <c r="F406" s="4385"/>
      <c r="G406" s="4385"/>
      <c r="H406" s="4385"/>
      <c r="I406" s="2517"/>
      <c r="J406" s="2932"/>
      <c r="K406" s="4517"/>
      <c r="L406" s="4517"/>
      <c r="M406" s="4518"/>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6699</v>
      </c>
      <c r="E408" s="73"/>
      <c r="F408" s="73"/>
      <c r="G408" s="73"/>
      <c r="H408" s="73"/>
      <c r="I408" s="258">
        <f>K291</f>
        <v>0</v>
      </c>
      <c r="J408" s="2931"/>
      <c r="K408" s="4515"/>
      <c r="L408" s="4515"/>
      <c r="M408" s="4516"/>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517"/>
      <c r="L409" s="4517"/>
      <c r="M409" s="4518"/>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85" t="s">
        <v>6700</v>
      </c>
      <c r="D411" s="4385"/>
      <c r="E411" s="4385"/>
      <c r="F411" s="4385"/>
      <c r="G411" s="4385"/>
      <c r="H411" s="4385"/>
      <c r="I411" s="258">
        <f>K293</f>
        <v>0</v>
      </c>
      <c r="J411" s="2931"/>
      <c r="K411" s="4515"/>
      <c r="L411" s="4515"/>
      <c r="M411" s="4516"/>
      <c r="N411" s="1065">
        <f>MAX(J411,K411)</f>
        <v>0</v>
      </c>
      <c r="O411" s="28" t="s">
        <v>6701</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85"/>
      <c r="D412" s="4385"/>
      <c r="E412" s="4385"/>
      <c r="F412" s="4385"/>
      <c r="G412" s="4385"/>
      <c r="H412" s="4385"/>
      <c r="J412" s="2932"/>
      <c r="K412" s="4517"/>
      <c r="L412" s="4517"/>
      <c r="M412" s="4518"/>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252</v>
      </c>
      <c r="C414" s="16" t="s">
        <v>6702</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6703</v>
      </c>
      <c r="D415" s="77"/>
      <c r="E415" s="16"/>
      <c r="F415" s="16"/>
      <c r="G415" s="77"/>
      <c r="H415" s="77"/>
      <c r="I415" s="77"/>
      <c r="J415" s="77"/>
      <c r="K415" s="77"/>
      <c r="L415" s="16"/>
      <c r="M415" s="16"/>
      <c r="N415" s="77"/>
      <c r="O415" s="28" t="s">
        <v>6477</v>
      </c>
      <c r="P415" s="2900" t="s">
        <v>720</v>
      </c>
      <c r="Q415" s="2901" t="s">
        <v>720</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540" t="s">
        <v>6704</v>
      </c>
      <c r="E416" s="246" t="s">
        <v>6705</v>
      </c>
      <c r="F416" s="25" t="s">
        <v>6706</v>
      </c>
      <c r="G416" s="3947"/>
      <c r="H416" s="3948"/>
      <c r="I416" s="3948"/>
      <c r="J416" s="3948"/>
      <c r="K416" s="3949"/>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540"/>
      <c r="E417" s="246" t="s">
        <v>6707</v>
      </c>
      <c r="F417" s="25" t="s">
        <v>6708</v>
      </c>
      <c r="G417" s="4505" t="s">
        <v>1210</v>
      </c>
      <c r="H417" s="4506"/>
      <c r="I417" s="4507"/>
      <c r="J417" s="25" t="s">
        <v>6709</v>
      </c>
      <c r="K417" s="77"/>
      <c r="L417" s="77"/>
      <c r="M417" s="3947"/>
      <c r="N417" s="3948"/>
      <c r="O417" s="3948"/>
      <c r="P417" s="3948"/>
      <c r="Q417" s="3949"/>
      <c r="R417" s="77"/>
      <c r="S417" s="77"/>
      <c r="T417" s="77"/>
      <c r="U417" s="77"/>
      <c r="V417" s="77"/>
      <c r="W417" s="77"/>
      <c r="X417" s="77"/>
      <c r="Y417" s="77"/>
      <c r="Z417" s="77"/>
      <c r="AA417" s="77"/>
      <c r="AB417" s="77"/>
      <c r="AC417" s="77"/>
      <c r="AD417" s="77"/>
      <c r="AE417" s="77"/>
    </row>
    <row r="418" spans="1:31" ht="12" customHeight="1">
      <c r="A418" s="43"/>
      <c r="B418" s="77"/>
      <c r="C418" s="25" t="s">
        <v>6710</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85" customHeight="1">
      <c r="A419" s="77"/>
      <c r="B419" s="4519"/>
      <c r="C419" s="4520"/>
      <c r="D419" s="4520"/>
      <c r="E419" s="4520"/>
      <c r="F419" s="4520"/>
      <c r="G419" s="4520"/>
      <c r="H419" s="4520"/>
      <c r="I419" s="4520"/>
      <c r="J419" s="4520"/>
      <c r="K419" s="4520"/>
      <c r="L419" s="4520"/>
      <c r="M419" s="4520"/>
      <c r="N419" s="4520"/>
      <c r="O419" s="4520"/>
      <c r="P419" s="4520"/>
      <c r="Q419" s="4521"/>
      <c r="R419" s="248" t="s">
        <v>6711</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197</v>
      </c>
      <c r="B421" s="4539" t="s">
        <v>6712</v>
      </c>
      <c r="C421" s="4385"/>
      <c r="D421" s="4385"/>
      <c r="E421" s="4385"/>
      <c r="F421" s="4385"/>
      <c r="G421" s="4385"/>
      <c r="H421" s="4385"/>
      <c r="I421" s="4385"/>
      <c r="J421" s="4385"/>
      <c r="K421" s="4385"/>
      <c r="L421" s="4385"/>
      <c r="M421" s="4385"/>
      <c r="N421" s="4385"/>
    </row>
    <row r="422" spans="1:31" s="77" customFormat="1" ht="45" customHeight="1">
      <c r="B422" s="4385" t="s">
        <v>6713</v>
      </c>
      <c r="C422" s="4385"/>
      <c r="D422" s="4385"/>
      <c r="E422" s="4385"/>
      <c r="F422" s="4385"/>
      <c r="G422" s="4385"/>
      <c r="H422" s="4385"/>
      <c r="I422" s="4385"/>
      <c r="J422" s="4385"/>
      <c r="K422" s="4385"/>
      <c r="L422" s="4385"/>
      <c r="M422" s="4385"/>
      <c r="N422" s="4385"/>
      <c r="O422" s="84" t="s">
        <v>197</v>
      </c>
      <c r="P422" s="2919"/>
      <c r="Q422" s="2920"/>
    </row>
    <row r="423" spans="1:31" ht="12" customHeight="1">
      <c r="A423" s="77"/>
      <c r="B423" s="74" t="s">
        <v>1456</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82"/>
      <c r="B424" s="4383"/>
      <c r="C424" s="4383"/>
      <c r="D424" s="4383"/>
      <c r="E424" s="4383"/>
      <c r="F424" s="4383"/>
      <c r="G424" s="4383"/>
      <c r="H424" s="4383"/>
      <c r="I424" s="4383"/>
      <c r="J424" s="4383"/>
      <c r="K424" s="4383"/>
      <c r="L424" s="4383"/>
      <c r="M424" s="4383"/>
      <c r="N424" s="4383"/>
      <c r="O424" s="4383"/>
      <c r="P424" s="4383"/>
      <c r="Q424" s="4384"/>
      <c r="R424" s="77"/>
      <c r="S424" s="77"/>
      <c r="T424" s="77"/>
      <c r="U424" s="69"/>
      <c r="V424" s="69"/>
      <c r="W424" s="69"/>
      <c r="X424" s="69"/>
      <c r="Y424" s="69"/>
      <c r="Z424" s="69"/>
      <c r="AA424" s="69"/>
      <c r="AB424" s="69"/>
      <c r="AC424" s="69"/>
      <c r="AD424" s="69"/>
      <c r="AE424" s="69"/>
    </row>
    <row r="425" spans="1:31" ht="12" customHeight="1">
      <c r="A425" s="77"/>
      <c r="B425" s="70" t="s">
        <v>1452</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 customHeight="1">
      <c r="A426" s="4386"/>
      <c r="B426" s="4387"/>
      <c r="C426" s="4387"/>
      <c r="D426" s="4387"/>
      <c r="E426" s="4387"/>
      <c r="F426" s="4387"/>
      <c r="G426" s="4387"/>
      <c r="H426" s="4387"/>
      <c r="I426" s="4387"/>
      <c r="J426" s="4387"/>
      <c r="K426" s="4387"/>
      <c r="L426" s="4387"/>
      <c r="M426" s="4387"/>
      <c r="N426" s="4387"/>
      <c r="O426" s="4387"/>
      <c r="P426" s="4387"/>
      <c r="Q426" s="4388"/>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 customHeight="1">
      <c r="A428" s="2521" t="s">
        <v>1603</v>
      </c>
      <c r="B428" s="3" t="s">
        <v>1594</v>
      </c>
      <c r="C428" s="3"/>
      <c r="D428" s="38"/>
      <c r="E428" s="2586"/>
      <c r="F428" s="2586"/>
      <c r="G428" s="2586"/>
      <c r="H428" s="2586"/>
      <c r="I428" s="77"/>
      <c r="J428" s="77"/>
      <c r="K428" s="77"/>
      <c r="L428" s="77"/>
      <c r="M428" s="77"/>
      <c r="N428" s="77"/>
      <c r="O428" s="66" t="s">
        <v>1450</v>
      </c>
      <c r="P428" s="4401"/>
      <c r="Q428" s="4390"/>
      <c r="R428" s="77"/>
      <c r="S428" s="77"/>
      <c r="T428" s="77"/>
      <c r="U428" s="77"/>
      <c r="V428" s="77"/>
      <c r="W428" s="77"/>
      <c r="X428" s="77"/>
      <c r="Y428" s="77"/>
      <c r="Z428" s="77"/>
      <c r="AA428" s="77"/>
      <c r="AB428" s="77"/>
      <c r="AC428" s="77"/>
      <c r="AD428" s="77"/>
      <c r="AE428" s="77"/>
    </row>
    <row r="429" spans="1:31" ht="14.1" customHeight="1">
      <c r="A429" s="77"/>
      <c r="B429" s="38" t="s">
        <v>6714</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185</v>
      </c>
      <c r="B430" s="4385" t="s">
        <v>6715</v>
      </c>
      <c r="C430" s="4385"/>
      <c r="D430" s="4385"/>
      <c r="E430" s="4385"/>
      <c r="F430" s="4385"/>
      <c r="G430" s="4385"/>
      <c r="H430" s="4385"/>
      <c r="I430" s="4385"/>
      <c r="J430" s="4385"/>
      <c r="K430" s="4385"/>
      <c r="L430" s="4385"/>
      <c r="M430" s="4385"/>
      <c r="N430" s="4385"/>
      <c r="O430" s="84" t="s">
        <v>185</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197</v>
      </c>
      <c r="B431" s="4385" t="s">
        <v>6716</v>
      </c>
      <c r="C431" s="4385"/>
      <c r="D431" s="4385"/>
      <c r="E431" s="4385"/>
      <c r="F431" s="4385"/>
      <c r="G431" s="4385"/>
      <c r="H431" s="4385"/>
      <c r="I431" s="4385"/>
      <c r="J431" s="4385"/>
      <c r="K431" s="4385"/>
      <c r="L431" s="4385"/>
      <c r="M431" s="4385"/>
      <c r="N431" s="4385"/>
      <c r="O431" s="84" t="s">
        <v>197</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1510</v>
      </c>
      <c r="C432" s="4385" t="s">
        <v>6717</v>
      </c>
      <c r="D432" s="4385"/>
      <c r="E432" s="4385"/>
      <c r="F432" s="4385"/>
      <c r="G432" s="4385"/>
      <c r="H432" s="4385"/>
      <c r="I432" s="4385"/>
      <c r="J432" s="4385"/>
      <c r="K432" s="4385"/>
      <c r="L432" s="4385"/>
      <c r="M432" s="4385"/>
      <c r="N432" s="4385"/>
      <c r="O432" s="84" t="s">
        <v>1510</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1513</v>
      </c>
      <c r="C433" s="13" t="s">
        <v>6718</v>
      </c>
      <c r="D433" s="68"/>
      <c r="E433" s="68"/>
      <c r="F433" s="68"/>
      <c r="G433" s="68"/>
      <c r="H433" s="68"/>
      <c r="I433" s="68"/>
      <c r="J433" s="68"/>
      <c r="K433" s="68"/>
      <c r="L433" s="68"/>
      <c r="M433" s="68"/>
      <c r="N433" s="68"/>
      <c r="O433" s="28" t="s">
        <v>1513</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1514</v>
      </c>
      <c r="C434" s="4385" t="s">
        <v>6719</v>
      </c>
      <c r="D434" s="4385"/>
      <c r="E434" s="4385"/>
      <c r="F434" s="4385"/>
      <c r="G434" s="4385"/>
      <c r="H434" s="4385"/>
      <c r="I434" s="4385"/>
      <c r="J434" s="4385"/>
      <c r="K434" s="4385"/>
      <c r="L434" s="4385"/>
      <c r="M434" s="4385"/>
      <c r="N434" s="4385"/>
      <c r="O434" s="84" t="s">
        <v>1514</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1515</v>
      </c>
      <c r="C435" s="4385" t="s">
        <v>6720</v>
      </c>
      <c r="D435" s="4385"/>
      <c r="E435" s="4385"/>
      <c r="F435" s="4385"/>
      <c r="G435" s="4385"/>
      <c r="H435" s="4385"/>
      <c r="I435" s="4385"/>
      <c r="J435" s="4385"/>
      <c r="K435" s="4385"/>
      <c r="L435" s="4385"/>
      <c r="M435" s="4385"/>
      <c r="N435" s="4385"/>
      <c r="O435" s="84" t="s">
        <v>1515</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218</v>
      </c>
      <c r="B436" s="4385" t="s">
        <v>6721</v>
      </c>
      <c r="C436" s="4385"/>
      <c r="D436" s="4385"/>
      <c r="E436" s="4385"/>
      <c r="F436" s="4385"/>
      <c r="G436" s="4385"/>
      <c r="H436" s="4385"/>
      <c r="I436" s="4385"/>
      <c r="J436" s="4385"/>
      <c r="K436" s="4385"/>
      <c r="L436" s="4385"/>
      <c r="M436" s="4385"/>
      <c r="N436" s="4385"/>
      <c r="O436" s="84" t="s">
        <v>218</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220</v>
      </c>
      <c r="B437" s="4385" t="s">
        <v>6722</v>
      </c>
      <c r="C437" s="4385"/>
      <c r="D437" s="4385"/>
      <c r="E437" s="4385"/>
      <c r="F437" s="4385"/>
      <c r="G437" s="4385"/>
      <c r="H437" s="4385"/>
      <c r="I437" s="4385"/>
      <c r="J437" s="4385"/>
      <c r="K437" s="4385"/>
      <c r="L437" s="4385"/>
      <c r="M437" s="4385"/>
      <c r="N437" s="4385"/>
      <c r="O437" s="84" t="s">
        <v>220</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227</v>
      </c>
      <c r="B438" s="4385" t="s">
        <v>6723</v>
      </c>
      <c r="C438" s="4385"/>
      <c r="D438" s="4385"/>
      <c r="E438" s="4385"/>
      <c r="F438" s="4385"/>
      <c r="G438" s="4385"/>
      <c r="H438" s="4385"/>
      <c r="I438" s="4385"/>
      <c r="J438" s="4385"/>
      <c r="K438" s="4385"/>
      <c r="L438" s="4385"/>
      <c r="M438" s="4385"/>
      <c r="N438" s="4385"/>
      <c r="O438" s="84" t="s">
        <v>227</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229</v>
      </c>
      <c r="B439" s="4385" t="s">
        <v>6724</v>
      </c>
      <c r="C439" s="4385"/>
      <c r="D439" s="4385"/>
      <c r="E439" s="4385"/>
      <c r="F439" s="4385"/>
      <c r="G439" s="4385"/>
      <c r="H439" s="4385"/>
      <c r="I439" s="4385"/>
      <c r="J439" s="4385"/>
      <c r="K439" s="4385"/>
      <c r="L439" s="4385"/>
      <c r="M439" s="4385"/>
      <c r="N439" s="4385"/>
      <c r="O439" s="84" t="s">
        <v>229</v>
      </c>
      <c r="P439" s="2595"/>
      <c r="Q439" s="2593"/>
    </row>
    <row r="440" spans="1:31" ht="11.25" customHeight="1">
      <c r="A440" s="77"/>
      <c r="B440" s="74" t="s">
        <v>1456</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82"/>
      <c r="B441" s="4383"/>
      <c r="C441" s="4383"/>
      <c r="D441" s="4383"/>
      <c r="E441" s="4383"/>
      <c r="F441" s="4383"/>
      <c r="G441" s="4383"/>
      <c r="H441" s="4383"/>
      <c r="I441" s="4383"/>
      <c r="J441" s="4383"/>
      <c r="K441" s="4383"/>
      <c r="L441" s="4383"/>
      <c r="M441" s="4383"/>
      <c r="N441" s="4383"/>
      <c r="O441" s="4383"/>
      <c r="P441" s="4383"/>
      <c r="Q441" s="4384"/>
      <c r="R441" s="248" t="s">
        <v>6410</v>
      </c>
      <c r="S441" s="249"/>
      <c r="T441" s="77"/>
      <c r="U441" s="69"/>
      <c r="V441" s="69"/>
      <c r="W441" s="69"/>
      <c r="X441" s="69"/>
      <c r="Y441" s="69"/>
      <c r="Z441" s="69"/>
      <c r="AA441" s="69"/>
      <c r="AB441" s="69"/>
      <c r="AC441" s="69"/>
      <c r="AD441" s="69"/>
      <c r="AE441" s="69"/>
    </row>
    <row r="442" spans="1:31" ht="11.25" customHeight="1">
      <c r="A442" s="77"/>
      <c r="B442" s="70" t="s">
        <v>1452</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86"/>
      <c r="B443" s="4387"/>
      <c r="C443" s="4387"/>
      <c r="D443" s="4387"/>
      <c r="E443" s="4387"/>
      <c r="F443" s="4387"/>
      <c r="G443" s="4387"/>
      <c r="H443" s="4387"/>
      <c r="I443" s="4387"/>
      <c r="J443" s="4387"/>
      <c r="K443" s="4387"/>
      <c r="L443" s="4387"/>
      <c r="M443" s="4387"/>
      <c r="N443" s="4387"/>
      <c r="O443" s="4387"/>
      <c r="P443" s="4387"/>
      <c r="Q443" s="4388"/>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 customHeight="1">
      <c r="A445" s="2521" t="s">
        <v>1606</v>
      </c>
      <c r="B445" s="3"/>
      <c r="C445" s="3" t="s">
        <v>1614</v>
      </c>
      <c r="D445" s="38"/>
      <c r="E445" s="2586"/>
      <c r="F445" s="2586"/>
      <c r="G445" s="2586"/>
      <c r="H445" s="2586"/>
      <c r="I445" s="77"/>
      <c r="J445" s="2586"/>
      <c r="K445" s="2586"/>
      <c r="L445" s="2586"/>
      <c r="M445" s="2586"/>
      <c r="N445" s="77"/>
      <c r="O445" s="66" t="s">
        <v>1450</v>
      </c>
      <c r="P445" s="4401"/>
      <c r="Q445" s="4390"/>
      <c r="R445" s="77"/>
      <c r="S445" s="77"/>
      <c r="T445" s="77"/>
      <c r="U445" s="77"/>
      <c r="V445" s="77"/>
      <c r="W445" s="77"/>
      <c r="X445" s="77"/>
      <c r="Y445" s="77"/>
      <c r="Z445" s="77"/>
      <c r="AA445" s="77"/>
      <c r="AB445" s="77"/>
      <c r="AC445" s="77"/>
      <c r="AD445" s="77"/>
      <c r="AE445" s="77"/>
    </row>
    <row r="446" spans="1:31" ht="11.25" customHeight="1">
      <c r="A446" s="2521"/>
      <c r="B446" s="74" t="s">
        <v>1456</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82"/>
      <c r="B447" s="4383"/>
      <c r="C447" s="4383"/>
      <c r="D447" s="4383"/>
      <c r="E447" s="4383"/>
      <c r="F447" s="4383"/>
      <c r="G447" s="4383"/>
      <c r="H447" s="4383"/>
      <c r="I447" s="4383"/>
      <c r="J447" s="4383"/>
      <c r="K447" s="4383"/>
      <c r="L447" s="4383"/>
      <c r="M447" s="4383"/>
      <c r="N447" s="4383"/>
      <c r="O447" s="4383"/>
      <c r="P447" s="4383"/>
      <c r="Q447" s="4384"/>
      <c r="R447" s="248" t="s">
        <v>6410</v>
      </c>
      <c r="S447" s="249"/>
      <c r="T447" s="77"/>
      <c r="U447" s="69"/>
      <c r="V447" s="69"/>
      <c r="W447" s="69"/>
      <c r="X447" s="69"/>
      <c r="Y447" s="69"/>
      <c r="Z447" s="69"/>
      <c r="AA447" s="69"/>
      <c r="AB447" s="69"/>
      <c r="AC447" s="69"/>
      <c r="AD447" s="69"/>
      <c r="AE447" s="69"/>
    </row>
    <row r="448" spans="1:31" ht="11.25" customHeight="1">
      <c r="A448" s="77"/>
      <c r="B448" s="70" t="s">
        <v>1452</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86"/>
      <c r="B449" s="4387"/>
      <c r="C449" s="4387"/>
      <c r="D449" s="4387"/>
      <c r="E449" s="4387"/>
      <c r="F449" s="4387"/>
      <c r="G449" s="4387"/>
      <c r="H449" s="4387"/>
      <c r="I449" s="4387"/>
      <c r="J449" s="4387"/>
      <c r="K449" s="4387"/>
      <c r="L449" s="4387"/>
      <c r="M449" s="4387"/>
      <c r="N449" s="4387"/>
      <c r="O449" s="4387"/>
      <c r="P449" s="4387"/>
      <c r="Q449" s="4388"/>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1.25">
      <c r="A456" s="25"/>
      <c r="B456" s="25"/>
      <c r="C456" s="590" t="s">
        <v>720</v>
      </c>
      <c r="J456" s="1284" t="s">
        <v>1615</v>
      </c>
      <c r="N456" s="591"/>
      <c r="O456" s="1284" t="s">
        <v>1616</v>
      </c>
      <c r="P456" s="1285"/>
      <c r="R456" s="25"/>
    </row>
    <row r="457" spans="1:18" s="590" customFormat="1" ht="11.25">
      <c r="A457" s="25"/>
      <c r="B457" s="25"/>
      <c r="C457" s="1286" t="s">
        <v>1617</v>
      </c>
      <c r="J457" s="1284" t="s">
        <v>1618</v>
      </c>
      <c r="N457" s="591"/>
      <c r="O457" s="1284" t="s">
        <v>1619</v>
      </c>
      <c r="P457" s="1285"/>
      <c r="R457" s="25"/>
    </row>
    <row r="458" spans="1:18" s="590" customFormat="1" ht="11.25">
      <c r="A458" s="25"/>
      <c r="B458" s="25"/>
      <c r="C458" s="1286" t="s">
        <v>1620</v>
      </c>
      <c r="J458" s="1284" t="s">
        <v>1621</v>
      </c>
      <c r="N458" s="591"/>
      <c r="O458" s="1284" t="s">
        <v>1622</v>
      </c>
      <c r="P458" s="1285"/>
      <c r="R458" s="25"/>
    </row>
    <row r="459" spans="1:18" s="590" customFormat="1" ht="11.25">
      <c r="A459" s="25"/>
      <c r="B459" s="25"/>
      <c r="C459" s="1286" t="s">
        <v>1623</v>
      </c>
      <c r="J459" s="1284" t="s">
        <v>1624</v>
      </c>
      <c r="N459" s="591"/>
      <c r="O459" s="1284" t="s">
        <v>1625</v>
      </c>
      <c r="P459" s="1285"/>
      <c r="R459" s="25"/>
    </row>
    <row r="460" spans="1:18" s="590" customFormat="1" ht="11.25">
      <c r="A460" s="25"/>
      <c r="B460" s="25"/>
      <c r="C460" s="1286" t="s">
        <v>1626</v>
      </c>
      <c r="J460" s="1284" t="s">
        <v>1627</v>
      </c>
      <c r="N460" s="591"/>
      <c r="O460" s="1284" t="s">
        <v>1628</v>
      </c>
      <c r="P460" s="1285"/>
      <c r="R460" s="25"/>
    </row>
    <row r="461" spans="1:18" s="590" customFormat="1" ht="11.25">
      <c r="A461" s="25"/>
      <c r="B461" s="25"/>
      <c r="C461" s="1286" t="s">
        <v>1629</v>
      </c>
      <c r="J461" s="1284" t="s">
        <v>1630</v>
      </c>
      <c r="N461" s="591"/>
      <c r="O461" s="1284" t="s">
        <v>1631</v>
      </c>
      <c r="P461" s="1285"/>
      <c r="R461" s="25"/>
    </row>
    <row r="462" spans="1:18" s="590" customFormat="1" ht="11.25">
      <c r="A462" s="25"/>
      <c r="B462" s="25"/>
      <c r="C462" s="1286" t="s">
        <v>1632</v>
      </c>
      <c r="J462" s="1284" t="s">
        <v>1633</v>
      </c>
      <c r="N462" s="591"/>
      <c r="O462" s="1284" t="s">
        <v>1634</v>
      </c>
      <c r="P462" s="1285"/>
      <c r="R462" s="25"/>
    </row>
    <row r="463" spans="1:18" s="590" customFormat="1" ht="11.25">
      <c r="A463" s="25"/>
      <c r="B463" s="25"/>
      <c r="C463" s="1286" t="s">
        <v>1635</v>
      </c>
      <c r="J463" s="1284" t="s">
        <v>1636</v>
      </c>
      <c r="N463" s="591"/>
      <c r="O463" s="590" t="s">
        <v>1637</v>
      </c>
      <c r="P463" s="1285"/>
      <c r="R463" s="25"/>
    </row>
    <row r="464" spans="1:18" s="590" customFormat="1" ht="11.25">
      <c r="A464" s="25"/>
      <c r="B464" s="25"/>
      <c r="C464" s="1286" t="s">
        <v>1638</v>
      </c>
      <c r="J464" s="1284" t="s">
        <v>1639</v>
      </c>
      <c r="N464" s="591"/>
      <c r="O464" s="590" t="s">
        <v>1640</v>
      </c>
      <c r="P464" s="1285"/>
      <c r="R464" s="25"/>
    </row>
    <row r="465" spans="1:22" s="590" customFormat="1" ht="11.25">
      <c r="A465" s="25"/>
      <c r="B465" s="25"/>
      <c r="C465" s="1286" t="s">
        <v>1641</v>
      </c>
      <c r="J465" s="1284" t="s">
        <v>1642</v>
      </c>
      <c r="N465" s="591"/>
      <c r="O465" s="1284"/>
      <c r="P465" s="1285"/>
      <c r="R465" s="25"/>
    </row>
    <row r="466" spans="1:22" s="590" customFormat="1" ht="11.25">
      <c r="A466" s="25"/>
      <c r="B466" s="25"/>
      <c r="C466" s="1286" t="s">
        <v>1643</v>
      </c>
      <c r="J466" s="1284" t="s">
        <v>1644</v>
      </c>
      <c r="N466" s="591"/>
      <c r="O466" s="1285"/>
      <c r="P466" s="1285"/>
      <c r="R466" s="25"/>
    </row>
    <row r="467" spans="1:22" s="590" customFormat="1" ht="11.25">
      <c r="A467" s="25"/>
      <c r="B467" s="25"/>
      <c r="C467" s="1286" t="s">
        <v>1645</v>
      </c>
      <c r="J467" s="1284" t="s">
        <v>1646</v>
      </c>
      <c r="N467" s="591"/>
      <c r="O467" s="1284"/>
      <c r="P467" s="1285"/>
      <c r="R467" s="25"/>
    </row>
    <row r="468" spans="1:22" s="590" customFormat="1" ht="11.25">
      <c r="A468" s="25"/>
      <c r="B468" s="25"/>
      <c r="C468" s="1286" t="s">
        <v>1648</v>
      </c>
      <c r="N468" s="591"/>
      <c r="O468" s="1285"/>
      <c r="P468" s="1285"/>
      <c r="R468" s="25"/>
    </row>
    <row r="469" spans="1:22" s="590" customFormat="1" ht="11.25">
      <c r="A469" s="25"/>
      <c r="B469" s="25"/>
      <c r="N469" s="591"/>
      <c r="O469" s="1285"/>
      <c r="P469" s="1285"/>
      <c r="R469" s="25"/>
    </row>
    <row r="470" spans="1:22" s="590" customFormat="1" ht="11.25">
      <c r="A470" s="25"/>
      <c r="B470" s="25"/>
      <c r="R470" s="25"/>
      <c r="S470" s="25"/>
      <c r="T470" s="25"/>
      <c r="U470" s="25"/>
      <c r="V470" s="25"/>
    </row>
    <row r="471" spans="1:22" s="590" customFormat="1" ht="11.25">
      <c r="A471" s="25"/>
      <c r="B471" s="25"/>
      <c r="C471" s="1287" t="s">
        <v>1652</v>
      </c>
      <c r="R471" s="25"/>
    </row>
    <row r="472" spans="1:22" s="590" customFormat="1" ht="11.25">
      <c r="A472" s="25"/>
      <c r="B472" s="25"/>
      <c r="C472" s="590" t="s">
        <v>1653</v>
      </c>
      <c r="R472" s="25"/>
    </row>
    <row r="473" spans="1:22" s="590" customFormat="1" ht="11.25">
      <c r="A473" s="25"/>
      <c r="B473" s="25"/>
      <c r="C473" s="1286" t="s">
        <v>1654</v>
      </c>
      <c r="R473" s="25"/>
    </row>
    <row r="474" spans="1:22" s="590" customFormat="1" ht="11.25">
      <c r="A474" s="25"/>
      <c r="B474" s="25"/>
      <c r="C474" s="1286" t="s">
        <v>1655</v>
      </c>
      <c r="L474" s="1286"/>
      <c r="R474" s="25"/>
    </row>
    <row r="475" spans="1:22" s="590" customFormat="1" ht="11.25">
      <c r="A475" s="25"/>
      <c r="B475" s="25"/>
      <c r="C475" s="1286" t="s">
        <v>1656</v>
      </c>
      <c r="L475" s="1286"/>
      <c r="R475" s="25"/>
    </row>
    <row r="476" spans="1:22" s="590" customFormat="1" ht="11.25">
      <c r="A476" s="25"/>
      <c r="B476" s="25"/>
      <c r="C476" s="1286" t="s">
        <v>1657</v>
      </c>
      <c r="L476" s="1286"/>
      <c r="R476" s="25"/>
    </row>
    <row r="477" spans="1:22" s="590" customFormat="1" ht="11.25">
      <c r="A477" s="25"/>
      <c r="B477" s="25"/>
      <c r="C477" s="1286" t="s">
        <v>1658</v>
      </c>
      <c r="L477" s="1286"/>
      <c r="R477" s="25"/>
    </row>
    <row r="478" spans="1:22" s="590" customFormat="1" ht="11.25">
      <c r="A478" s="25"/>
      <c r="B478" s="25"/>
      <c r="C478" s="590" t="s">
        <v>1659</v>
      </c>
      <c r="L478" s="1286"/>
      <c r="R478" s="25"/>
    </row>
    <row r="479" spans="1:22" s="590" customFormat="1" ht="11.25">
      <c r="A479" s="25"/>
      <c r="B479" s="25"/>
      <c r="C479" s="590" t="s">
        <v>1660</v>
      </c>
      <c r="R479" s="25"/>
    </row>
    <row r="480" spans="1:22" s="590" customFormat="1" ht="11.25">
      <c r="A480" s="25"/>
      <c r="B480" s="25"/>
      <c r="C480" s="1286" t="s">
        <v>1661</v>
      </c>
      <c r="L480" s="1286"/>
      <c r="R480" s="25"/>
    </row>
    <row r="481" spans="1:18" s="590" customFormat="1" ht="11.25">
      <c r="A481" s="25"/>
      <c r="B481" s="25"/>
      <c r="C481" s="590" t="s">
        <v>1662</v>
      </c>
      <c r="L481" s="1286"/>
      <c r="R481" s="25"/>
    </row>
    <row r="482" spans="1:18" s="590" customFormat="1" ht="11.25">
      <c r="A482" s="25"/>
      <c r="B482" s="25"/>
      <c r="C482" s="590" t="s">
        <v>1658</v>
      </c>
      <c r="L482" s="1286"/>
      <c r="R482" s="25"/>
    </row>
    <row r="483" spans="1:18" s="590" customFormat="1" ht="11.25">
      <c r="A483" s="25"/>
      <c r="B483" s="25"/>
      <c r="C483" s="590" t="s">
        <v>1663</v>
      </c>
      <c r="L483" s="1286"/>
      <c r="R483" s="25"/>
    </row>
    <row r="484" spans="1:18" s="590" customFormat="1" ht="11.25">
      <c r="A484" s="25"/>
      <c r="B484" s="25"/>
      <c r="C484" s="590" t="s">
        <v>1664</v>
      </c>
      <c r="R484" s="25"/>
    </row>
    <row r="485" spans="1:18" s="590" customFormat="1" ht="11.25">
      <c r="A485" s="25"/>
      <c r="B485" s="25"/>
      <c r="C485" s="1286" t="s">
        <v>1665</v>
      </c>
      <c r="L485" s="1286"/>
      <c r="R485" s="25"/>
    </row>
    <row r="486" spans="1:18" s="590" customFormat="1" ht="11.25">
      <c r="A486" s="25"/>
      <c r="B486" s="25"/>
      <c r="C486" s="590" t="s">
        <v>1666</v>
      </c>
      <c r="L486" s="1286"/>
      <c r="R486" s="25"/>
    </row>
    <row r="487" spans="1:18" s="590" customFormat="1" ht="11.25">
      <c r="A487" s="25"/>
      <c r="B487" s="25"/>
      <c r="C487" s="590" t="s">
        <v>1667</v>
      </c>
      <c r="L487" s="1286"/>
      <c r="R487" s="25"/>
    </row>
    <row r="488" spans="1:18" s="590" customFormat="1" ht="11.25">
      <c r="A488" s="25"/>
      <c r="B488" s="25"/>
      <c r="C488" s="590" t="s">
        <v>1668</v>
      </c>
      <c r="K488" s="1287" t="s">
        <v>1669</v>
      </c>
      <c r="L488" s="1286"/>
      <c r="R488" s="25"/>
    </row>
    <row r="489" spans="1:18" s="590" customFormat="1" ht="11.25">
      <c r="A489" s="25"/>
      <c r="B489" s="25"/>
      <c r="C489" s="590" t="s">
        <v>1670</v>
      </c>
      <c r="K489" s="590" t="s">
        <v>1555</v>
      </c>
      <c r="L489" s="1286"/>
      <c r="R489" s="25"/>
    </row>
    <row r="490" spans="1:18" s="590" customFormat="1" ht="11.25">
      <c r="A490" s="25"/>
      <c r="B490" s="25"/>
      <c r="C490" s="590" t="s">
        <v>1671</v>
      </c>
      <c r="K490" s="590" t="s">
        <v>6725</v>
      </c>
      <c r="R490" s="25"/>
    </row>
    <row r="491" spans="1:18" s="590" customFormat="1" ht="11.25">
      <c r="A491" s="25"/>
      <c r="B491" s="25"/>
      <c r="C491" s="1286" t="s">
        <v>1673</v>
      </c>
      <c r="K491" s="590" t="s">
        <v>1674</v>
      </c>
      <c r="R491" s="25"/>
    </row>
    <row r="492" spans="1:18" s="590" customFormat="1" ht="11.25">
      <c r="A492" s="25"/>
      <c r="B492" s="25"/>
      <c r="R492" s="25"/>
    </row>
    <row r="493" spans="1:18" s="590" customFormat="1" ht="11.25">
      <c r="A493" s="25"/>
      <c r="B493" s="25"/>
      <c r="C493" s="1287" t="s">
        <v>1675</v>
      </c>
      <c r="K493" s="1287" t="s">
        <v>1676</v>
      </c>
      <c r="R493" s="25"/>
    </row>
    <row r="494" spans="1:18" s="590" customFormat="1" ht="11.25">
      <c r="A494" s="25"/>
      <c r="B494" s="25"/>
      <c r="C494" s="590" t="s">
        <v>1677</v>
      </c>
      <c r="K494" s="590" t="s">
        <v>1553</v>
      </c>
      <c r="R494" s="25"/>
    </row>
    <row r="495" spans="1:18" s="590" customFormat="1" ht="11.25">
      <c r="A495" s="25"/>
      <c r="B495" s="25"/>
      <c r="C495" s="590" t="s">
        <v>1678</v>
      </c>
      <c r="K495" s="590" t="s">
        <v>6726</v>
      </c>
      <c r="R495" s="25"/>
    </row>
    <row r="496" spans="1:18" s="590" customFormat="1" ht="11.25">
      <c r="A496" s="25"/>
      <c r="B496" s="25"/>
      <c r="C496" s="590" t="s">
        <v>1680</v>
      </c>
      <c r="K496" s="590" t="s">
        <v>6727</v>
      </c>
      <c r="R496" s="25"/>
    </row>
    <row r="497" spans="1:18" s="590" customFormat="1" ht="11.25">
      <c r="A497" s="25"/>
      <c r="B497" s="25"/>
      <c r="C497" s="590" t="s">
        <v>1682</v>
      </c>
      <c r="K497" s="590" t="s">
        <v>6728</v>
      </c>
      <c r="R497" s="25"/>
    </row>
    <row r="498" spans="1:18" s="590" customFormat="1" ht="11.25">
      <c r="A498" s="25"/>
      <c r="B498" s="25"/>
      <c r="C498" s="590" t="s">
        <v>1684</v>
      </c>
      <c r="K498" s="590" t="s">
        <v>6729</v>
      </c>
      <c r="R498" s="25"/>
    </row>
    <row r="499" spans="1:18" s="590" customFormat="1" ht="11.25">
      <c r="A499" s="25"/>
      <c r="B499" s="25"/>
      <c r="K499" s="1287" t="s">
        <v>1686</v>
      </c>
      <c r="R499" s="25"/>
    </row>
    <row r="500" spans="1:18" s="590" customFormat="1" ht="11.25">
      <c r="A500" s="25"/>
      <c r="B500" s="25"/>
      <c r="K500" s="590" t="s">
        <v>1687</v>
      </c>
      <c r="R500" s="25"/>
    </row>
    <row r="501" spans="1:18" s="590" customFormat="1" ht="11.25">
      <c r="A501" s="25"/>
      <c r="B501" s="25"/>
      <c r="K501" s="590" t="s">
        <v>1688</v>
      </c>
      <c r="R501" s="25"/>
    </row>
    <row r="502" spans="1:18" s="590" customFormat="1" ht="11.25">
      <c r="A502" s="25"/>
      <c r="B502" s="25"/>
      <c r="K502" s="590" t="s">
        <v>1689</v>
      </c>
      <c r="R502" s="25"/>
    </row>
    <row r="503" spans="1:18" s="590" customFormat="1" ht="11.25">
      <c r="A503" s="25"/>
      <c r="B503" s="25"/>
      <c r="K503" s="590" t="s">
        <v>1690</v>
      </c>
      <c r="R503" s="25"/>
    </row>
    <row r="504" spans="1:18" s="590" customFormat="1" ht="11.25">
      <c r="A504" s="25"/>
      <c r="B504" s="25"/>
      <c r="K504" s="590" t="s">
        <v>1691</v>
      </c>
      <c r="R504" s="25"/>
    </row>
    <row r="505" spans="1:18" s="590" customFormat="1" ht="11.25">
      <c r="A505" s="25"/>
      <c r="B505" s="25"/>
      <c r="R505" s="25"/>
    </row>
    <row r="506" spans="1:18" s="590" customFormat="1" ht="11.25">
      <c r="A506" s="25"/>
      <c r="B506" s="25"/>
      <c r="C506" s="1287" t="s">
        <v>1692</v>
      </c>
      <c r="M506" s="1287" t="s">
        <v>1693</v>
      </c>
      <c r="R506" s="25"/>
    </row>
    <row r="507" spans="1:18" s="590" customFormat="1" ht="11.25">
      <c r="A507" s="25"/>
      <c r="B507" s="25"/>
      <c r="C507" s="590" t="s">
        <v>1511</v>
      </c>
      <c r="M507" s="590" t="s">
        <v>1511</v>
      </c>
      <c r="R507" s="25"/>
    </row>
    <row r="508" spans="1:18" s="590" customFormat="1" ht="11.25">
      <c r="A508" s="25"/>
      <c r="B508" s="25"/>
      <c r="C508" s="590" t="s">
        <v>1694</v>
      </c>
      <c r="M508" s="590" t="s">
        <v>1695</v>
      </c>
      <c r="R508" s="25"/>
    </row>
    <row r="509" spans="1:18" s="590" customFormat="1" ht="11.25">
      <c r="A509" s="25"/>
      <c r="B509" s="25"/>
      <c r="C509" s="590" t="s">
        <v>1696</v>
      </c>
      <c r="M509" s="590" t="s">
        <v>1697</v>
      </c>
      <c r="R509" s="25"/>
    </row>
    <row r="510" spans="1:18" s="590" customFormat="1" ht="11.25">
      <c r="A510" s="25"/>
      <c r="B510" s="25"/>
      <c r="C510" s="590" t="s">
        <v>1698</v>
      </c>
      <c r="M510" s="590" t="s">
        <v>1699</v>
      </c>
      <c r="R510" s="25"/>
    </row>
    <row r="511" spans="1:18" s="590" customFormat="1" ht="11.25">
      <c r="A511" s="25"/>
      <c r="B511" s="25"/>
      <c r="C511" s="590" t="s">
        <v>1700</v>
      </c>
      <c r="M511" s="590" t="s">
        <v>1701</v>
      </c>
      <c r="R511" s="25"/>
    </row>
    <row r="512" spans="1:18" s="590" customFormat="1" ht="11.25">
      <c r="A512" s="25"/>
      <c r="B512" s="25"/>
      <c r="C512" s="590" t="s">
        <v>1702</v>
      </c>
      <c r="M512" s="590" t="s">
        <v>1703</v>
      </c>
      <c r="R512" s="25"/>
    </row>
    <row r="513" spans="1:18" s="590" customFormat="1" ht="11.25">
      <c r="A513" s="25"/>
      <c r="B513" s="25"/>
      <c r="C513" s="590" t="s">
        <v>1704</v>
      </c>
      <c r="M513" s="590" t="s">
        <v>1705</v>
      </c>
      <c r="R513" s="25"/>
    </row>
    <row r="514" spans="1:18" s="590" customFormat="1" ht="11.25">
      <c r="A514" s="25"/>
      <c r="B514" s="25"/>
      <c r="C514" s="590" t="s">
        <v>1706</v>
      </c>
      <c r="M514" s="590" t="s">
        <v>1707</v>
      </c>
      <c r="R514" s="25"/>
    </row>
    <row r="515" spans="1:18" s="590" customFormat="1" ht="11.25">
      <c r="A515" s="25"/>
      <c r="B515" s="25"/>
      <c r="M515" s="590" t="s">
        <v>1646</v>
      </c>
      <c r="R515" s="25"/>
    </row>
    <row r="516" spans="1:18" s="590" customFormat="1" ht="11.25">
      <c r="A516" s="25"/>
      <c r="B516" s="25"/>
      <c r="R516" s="25"/>
    </row>
    <row r="517" spans="1:18" s="590" customFormat="1" ht="11.25">
      <c r="A517" s="25"/>
      <c r="B517" s="25"/>
      <c r="R517" s="25"/>
    </row>
    <row r="518" spans="1:18" s="590" customFormat="1" ht="11.25">
      <c r="A518" s="25"/>
      <c r="B518" s="25"/>
      <c r="M518" s="1288" t="s">
        <v>2102</v>
      </c>
      <c r="R518" s="25"/>
    </row>
    <row r="519" spans="1:18" s="590" customFormat="1" ht="11.25">
      <c r="A519" s="25"/>
      <c r="B519" s="25"/>
      <c r="M519" s="590" t="s">
        <v>1527</v>
      </c>
      <c r="R519" s="25"/>
    </row>
    <row r="520" spans="1:18" s="590" customFormat="1" ht="11.25">
      <c r="A520" s="25"/>
      <c r="B520" s="25"/>
      <c r="M520" s="590" t="s">
        <v>2107</v>
      </c>
      <c r="R520" s="25"/>
    </row>
    <row r="521" spans="1:18" s="590" customFormat="1" ht="11.25">
      <c r="A521" s="25"/>
      <c r="B521" s="25"/>
      <c r="M521" s="590" t="s">
        <v>1709</v>
      </c>
      <c r="R521" s="25"/>
    </row>
    <row r="522" spans="1:18" s="590" customFormat="1" ht="11.25">
      <c r="A522" s="25"/>
      <c r="B522" s="25"/>
      <c r="M522" s="590" t="s">
        <v>2110</v>
      </c>
      <c r="R522" s="25"/>
    </row>
    <row r="523" spans="1:18" s="590" customFormat="1" ht="11.25">
      <c r="A523" s="25"/>
      <c r="B523" s="25"/>
      <c r="D523" s="1288" t="s">
        <v>1712</v>
      </c>
      <c r="M523" s="590" t="s">
        <v>1711</v>
      </c>
      <c r="R523" s="25"/>
    </row>
    <row r="524" spans="1:18" s="590" customFormat="1">
      <c r="A524" s="25"/>
      <c r="B524" s="25"/>
      <c r="J524" s="251"/>
      <c r="M524" s="590" t="s">
        <v>2113</v>
      </c>
      <c r="R524" s="25"/>
    </row>
    <row r="525" spans="1:18" s="251" customFormat="1">
      <c r="A525" s="77"/>
      <c r="B525" s="77"/>
      <c r="M525" s="590" t="s">
        <v>1713</v>
      </c>
      <c r="O525" s="590"/>
      <c r="R525" s="77"/>
    </row>
    <row r="526" spans="1:18" s="251" customFormat="1">
      <c r="A526" s="77"/>
      <c r="B526" s="77"/>
      <c r="M526" s="590" t="s">
        <v>2116</v>
      </c>
      <c r="R526" s="77"/>
    </row>
    <row r="527" spans="1:18" s="251" customFormat="1">
      <c r="A527" s="77"/>
      <c r="B527" s="77"/>
      <c r="M527" s="590" t="s">
        <v>1715</v>
      </c>
      <c r="R527" s="77"/>
    </row>
    <row r="528" spans="1:18" s="251" customFormat="1">
      <c r="A528" s="77"/>
      <c r="B528" s="77"/>
      <c r="M528" s="590" t="s">
        <v>2121</v>
      </c>
      <c r="R528" s="77"/>
    </row>
    <row r="529" spans="1:22" s="251" customFormat="1">
      <c r="A529" s="77"/>
      <c r="B529" s="77"/>
      <c r="M529" s="590" t="s">
        <v>2123</v>
      </c>
      <c r="R529" s="77"/>
    </row>
    <row r="530" spans="1:22" s="251" customFormat="1">
      <c r="A530" s="77"/>
      <c r="B530" s="77"/>
      <c r="M530" s="590" t="s">
        <v>2125</v>
      </c>
      <c r="R530" s="77"/>
    </row>
    <row r="531" spans="1:22" s="251" customFormat="1">
      <c r="A531" s="77"/>
      <c r="B531" s="77"/>
      <c r="M531" s="590" t="s">
        <v>2127</v>
      </c>
      <c r="R531" s="77"/>
    </row>
    <row r="532" spans="1:22" s="251" customFormat="1">
      <c r="A532" s="77"/>
      <c r="B532" s="77"/>
      <c r="M532" s="590" t="s">
        <v>2129</v>
      </c>
      <c r="R532" s="77"/>
    </row>
    <row r="533" spans="1:22" s="251" customFormat="1">
      <c r="A533" s="77"/>
      <c r="B533" s="77"/>
      <c r="M533" s="590" t="s">
        <v>6730</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64:L64"/>
    <mergeCell ref="A71:Q71"/>
    <mergeCell ref="A73:Q73"/>
    <mergeCell ref="E65:G65"/>
    <mergeCell ref="O65:Q65"/>
    <mergeCell ref="E66:G66"/>
    <mergeCell ref="J66:L66"/>
    <mergeCell ref="A91:Q91"/>
    <mergeCell ref="L94:P94"/>
    <mergeCell ref="J65:L65"/>
    <mergeCell ref="E64:G64"/>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O331:Q331"/>
    <mergeCell ref="G314:N314"/>
    <mergeCell ref="N329:O329"/>
    <mergeCell ref="B320:N320"/>
    <mergeCell ref="P329:Q329"/>
    <mergeCell ref="C318:N318"/>
    <mergeCell ref="A323:Q323"/>
    <mergeCell ref="D291:H292"/>
    <mergeCell ref="P326:Q326"/>
    <mergeCell ref="L298:Q298"/>
    <mergeCell ref="A325:Q325"/>
    <mergeCell ref="P236:Q236"/>
    <mergeCell ref="P240:Q240"/>
    <mergeCell ref="P241:Q241"/>
    <mergeCell ref="K240:O240"/>
    <mergeCell ref="B227:I227"/>
    <mergeCell ref="B239:O239"/>
    <mergeCell ref="P256:Q256"/>
    <mergeCell ref="C293:H295"/>
    <mergeCell ref="C319:N319"/>
    <mergeCell ref="G315:N315"/>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B144:N144"/>
    <mergeCell ref="B143:N143"/>
    <mergeCell ref="B142:N142"/>
    <mergeCell ref="K223:P223"/>
    <mergeCell ref="K221:P221"/>
    <mergeCell ref="B145:N145"/>
    <mergeCell ref="C200:G200"/>
    <mergeCell ref="A214:Q214"/>
    <mergeCell ref="A216:Q216"/>
    <mergeCell ref="C194:O194"/>
    <mergeCell ref="Q193:Q194"/>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scale="98"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2.75"/>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85" customHeight="1">
      <c r="A2" s="4554" t="s">
        <v>6731</v>
      </c>
      <c r="B2" s="4554"/>
      <c r="C2" s="98"/>
      <c r="D2" s="585">
        <v>2021</v>
      </c>
      <c r="E2" s="95"/>
      <c r="F2" s="4589" t="s">
        <v>6732</v>
      </c>
      <c r="G2" s="4590"/>
      <c r="H2" s="4590"/>
      <c r="I2" s="4590"/>
      <c r="J2" s="4591"/>
      <c r="K2" s="2611"/>
      <c r="L2" s="316" t="s">
        <v>4677</v>
      </c>
      <c r="M2" s="2611"/>
      <c r="N2" s="4589" t="s">
        <v>6732</v>
      </c>
      <c r="O2" s="4590"/>
      <c r="P2" s="4590"/>
      <c r="Q2" s="4590"/>
      <c r="R2" s="4591"/>
      <c r="S2" s="150"/>
      <c r="T2" s="95"/>
      <c r="U2" s="95"/>
      <c r="V2" s="222"/>
      <c r="W2" s="222"/>
      <c r="X2" s="222"/>
      <c r="AA2" s="40"/>
      <c r="AB2" s="40"/>
    </row>
    <row r="3" spans="1:28" s="96" customFormat="1" ht="11.85" customHeight="1">
      <c r="A3" s="4554"/>
      <c r="B3" s="4554"/>
      <c r="D3" s="317" t="s">
        <v>4689</v>
      </c>
      <c r="E3" s="317" t="s">
        <v>6733</v>
      </c>
      <c r="F3" s="318">
        <v>0</v>
      </c>
      <c r="G3" s="2519">
        <v>1</v>
      </c>
      <c r="H3" s="2531">
        <v>2</v>
      </c>
      <c r="I3" s="2531">
        <v>3</v>
      </c>
      <c r="J3" s="319" t="s">
        <v>4843</v>
      </c>
      <c r="L3" s="317" t="s">
        <v>4689</v>
      </c>
      <c r="M3" s="317" t="s">
        <v>6733</v>
      </c>
      <c r="N3" s="318">
        <v>0</v>
      </c>
      <c r="O3" s="2519">
        <v>1</v>
      </c>
      <c r="P3" s="2531">
        <v>2</v>
      </c>
      <c r="Q3" s="2531">
        <v>3</v>
      </c>
      <c r="R3" s="319" t="s">
        <v>4843</v>
      </c>
      <c r="S3" s="150"/>
      <c r="T3" s="95"/>
      <c r="U3" s="95"/>
      <c r="V3" s="222"/>
      <c r="W3" s="222"/>
      <c r="X3" s="222"/>
      <c r="AA3" s="40"/>
      <c r="AB3" s="40"/>
    </row>
    <row r="4" spans="1:28" s="96" customFormat="1" ht="11.85" customHeight="1">
      <c r="A4" s="4554"/>
      <c r="B4" s="4554"/>
      <c r="D4" s="576" t="s">
        <v>2057</v>
      </c>
      <c r="E4" s="576" t="s">
        <v>6734</v>
      </c>
      <c r="F4" s="577">
        <v>142816</v>
      </c>
      <c r="G4" s="577">
        <v>184662</v>
      </c>
      <c r="H4" s="577">
        <v>220865</v>
      </c>
      <c r="I4" s="577">
        <v>263215</v>
      </c>
      <c r="J4" s="577">
        <v>310038</v>
      </c>
      <c r="L4" s="150" t="s">
        <v>2057</v>
      </c>
      <c r="M4" s="150" t="s">
        <v>6734</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85" customHeight="1">
      <c r="A5" s="98"/>
      <c r="D5" s="576" t="s">
        <v>2057</v>
      </c>
      <c r="E5" s="576" t="s">
        <v>1268</v>
      </c>
      <c r="F5" s="577">
        <v>111333</v>
      </c>
      <c r="G5" s="577">
        <v>155866</v>
      </c>
      <c r="H5" s="577">
        <v>200399</v>
      </c>
      <c r="I5" s="577">
        <v>267199</v>
      </c>
      <c r="J5" s="577">
        <v>333999</v>
      </c>
      <c r="L5" s="150" t="s">
        <v>2057</v>
      </c>
      <c r="M5" s="150" t="s">
        <v>1268</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85" customHeight="1">
      <c r="A6" s="98"/>
      <c r="D6" s="576" t="s">
        <v>2057</v>
      </c>
      <c r="E6" s="576" t="s">
        <v>1266</v>
      </c>
      <c r="F6" s="577">
        <v>123345</v>
      </c>
      <c r="G6" s="577">
        <v>160923</v>
      </c>
      <c r="H6" s="577">
        <v>194869</v>
      </c>
      <c r="I6" s="577">
        <v>237606</v>
      </c>
      <c r="J6" s="577">
        <v>281429</v>
      </c>
      <c r="L6" s="150" t="s">
        <v>2057</v>
      </c>
      <c r="M6" s="150" t="s">
        <v>1266</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85" customHeight="1">
      <c r="A7" s="98"/>
      <c r="D7" s="576" t="s">
        <v>2057</v>
      </c>
      <c r="E7" s="576" t="s">
        <v>1267</v>
      </c>
      <c r="F7" s="577">
        <v>110658</v>
      </c>
      <c r="G7" s="577">
        <v>150909</v>
      </c>
      <c r="H7" s="577">
        <v>191026</v>
      </c>
      <c r="I7" s="577">
        <v>251664</v>
      </c>
      <c r="J7" s="577">
        <v>311733</v>
      </c>
      <c r="L7" s="150" t="s">
        <v>2057</v>
      </c>
      <c r="M7" s="150" t="s">
        <v>1267</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85" customHeight="1">
      <c r="A8" s="98"/>
      <c r="D8" s="568" t="s">
        <v>4897</v>
      </c>
      <c r="E8" s="568" t="s">
        <v>6734</v>
      </c>
      <c r="F8" s="569">
        <v>141797</v>
      </c>
      <c r="G8" s="569">
        <v>183527</v>
      </c>
      <c r="H8" s="569">
        <v>219633</v>
      </c>
      <c r="I8" s="569">
        <v>261936</v>
      </c>
      <c r="J8" s="569">
        <v>308710</v>
      </c>
      <c r="L8" s="150" t="s">
        <v>4897</v>
      </c>
      <c r="M8" s="150" t="s">
        <v>6734</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85" customHeight="1">
      <c r="A9" s="98"/>
      <c r="D9" s="568" t="s">
        <v>4897</v>
      </c>
      <c r="E9" s="568" t="s">
        <v>1268</v>
      </c>
      <c r="F9" s="569">
        <v>110497</v>
      </c>
      <c r="G9" s="569">
        <v>154696</v>
      </c>
      <c r="H9" s="569">
        <v>198895</v>
      </c>
      <c r="I9" s="569">
        <v>265193</v>
      </c>
      <c r="J9" s="569">
        <v>331491</v>
      </c>
      <c r="L9" s="150" t="s">
        <v>4897</v>
      </c>
      <c r="M9" s="150" t="s">
        <v>1268</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85" customHeight="1">
      <c r="A10" s="98"/>
      <c r="D10" s="568" t="s">
        <v>4897</v>
      </c>
      <c r="E10" s="568" t="s">
        <v>1266</v>
      </c>
      <c r="F10" s="569">
        <v>121614</v>
      </c>
      <c r="G10" s="569">
        <v>158920</v>
      </c>
      <c r="H10" s="569">
        <v>192685</v>
      </c>
      <c r="I10" s="569">
        <v>235391</v>
      </c>
      <c r="J10" s="569">
        <v>279054</v>
      </c>
      <c r="L10" s="150" t="s">
        <v>4897</v>
      </c>
      <c r="M10" s="150" t="s">
        <v>1266</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85" customHeight="1">
      <c r="A11" s="98"/>
      <c r="D11" s="568" t="s">
        <v>4897</v>
      </c>
      <c r="E11" s="568" t="s">
        <v>1267</v>
      </c>
      <c r="F11" s="569">
        <v>108520</v>
      </c>
      <c r="G11" s="569">
        <v>147769</v>
      </c>
      <c r="H11" s="569">
        <v>186880</v>
      </c>
      <c r="I11" s="569">
        <v>246024</v>
      </c>
      <c r="J11" s="569">
        <v>304578</v>
      </c>
      <c r="L11" s="150" t="s">
        <v>4897</v>
      </c>
      <c r="M11" s="150" t="s">
        <v>1267</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85" customHeight="1">
      <c r="A12" s="98"/>
      <c r="D12" s="566" t="s">
        <v>4903</v>
      </c>
      <c r="E12" s="566" t="s">
        <v>6734</v>
      </c>
      <c r="F12" s="567">
        <v>155687</v>
      </c>
      <c r="G12" s="567">
        <v>201438</v>
      </c>
      <c r="H12" s="567">
        <v>241022</v>
      </c>
      <c r="I12" s="567">
        <v>287374</v>
      </c>
      <c r="J12" s="567">
        <v>338625</v>
      </c>
      <c r="L12" s="315" t="s">
        <v>4903</v>
      </c>
      <c r="M12" s="315" t="s">
        <v>6734</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85" customHeight="1">
      <c r="A13" s="98"/>
      <c r="D13" s="566" t="s">
        <v>4903</v>
      </c>
      <c r="E13" s="566" t="s">
        <v>1268</v>
      </c>
      <c r="F13" s="567">
        <v>121337</v>
      </c>
      <c r="G13" s="567">
        <v>169871</v>
      </c>
      <c r="H13" s="567">
        <v>218406</v>
      </c>
      <c r="I13" s="567">
        <v>291208</v>
      </c>
      <c r="J13" s="567">
        <v>364010</v>
      </c>
      <c r="L13" s="315" t="s">
        <v>4903</v>
      </c>
      <c r="M13" s="315" t="s">
        <v>1268</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85" customHeight="1">
      <c r="A14" s="98"/>
      <c r="D14" s="566" t="s">
        <v>4903</v>
      </c>
      <c r="E14" s="566" t="s">
        <v>1266</v>
      </c>
      <c r="F14" s="567">
        <v>133842</v>
      </c>
      <c r="G14" s="567">
        <v>174804</v>
      </c>
      <c r="H14" s="567">
        <v>211854</v>
      </c>
      <c r="I14" s="567">
        <v>258642</v>
      </c>
      <c r="J14" s="567">
        <v>306526</v>
      </c>
      <c r="L14" s="315" t="s">
        <v>4903</v>
      </c>
      <c r="M14" s="315" t="s">
        <v>1266</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85" customHeight="1">
      <c r="A15" s="98"/>
      <c r="D15" s="566" t="s">
        <v>4903</v>
      </c>
      <c r="E15" s="566" t="s">
        <v>1267</v>
      </c>
      <c r="F15" s="567">
        <v>119649</v>
      </c>
      <c r="G15" s="567">
        <v>163008</v>
      </c>
      <c r="H15" s="567">
        <v>206217</v>
      </c>
      <c r="I15" s="567">
        <v>271547</v>
      </c>
      <c r="J15" s="567">
        <v>336239</v>
      </c>
      <c r="L15" s="315" t="s">
        <v>4903</v>
      </c>
      <c r="M15" s="315" t="s">
        <v>1267</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85" customHeight="1">
      <c r="A16" s="98"/>
      <c r="D16" s="570" t="s">
        <v>4963</v>
      </c>
      <c r="E16" s="570" t="s">
        <v>6734</v>
      </c>
      <c r="F16" s="571">
        <v>145521</v>
      </c>
      <c r="G16" s="571">
        <v>188031</v>
      </c>
      <c r="H16" s="571">
        <v>224805</v>
      </c>
      <c r="I16" s="571">
        <v>267776</v>
      </c>
      <c r="J16" s="571">
        <v>315283</v>
      </c>
      <c r="L16" s="315" t="s">
        <v>4963</v>
      </c>
      <c r="M16" s="315" t="s">
        <v>6734</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85" customHeight="1">
      <c r="A17" s="98"/>
      <c r="D17" s="570" t="s">
        <v>4963</v>
      </c>
      <c r="E17" s="570" t="s">
        <v>1268</v>
      </c>
      <c r="F17" s="571">
        <v>113472</v>
      </c>
      <c r="G17" s="571">
        <v>158861</v>
      </c>
      <c r="H17" s="571">
        <v>204249</v>
      </c>
      <c r="I17" s="571">
        <v>272333</v>
      </c>
      <c r="J17" s="571">
        <v>340416</v>
      </c>
      <c r="L17" s="315" t="s">
        <v>4963</v>
      </c>
      <c r="M17" s="315" t="s">
        <v>1268</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85" customHeight="1">
      <c r="A18" s="98"/>
      <c r="D18" s="570" t="s">
        <v>4963</v>
      </c>
      <c r="E18" s="570" t="s">
        <v>1266</v>
      </c>
      <c r="F18" s="571">
        <v>126289</v>
      </c>
      <c r="G18" s="571">
        <v>164581</v>
      </c>
      <c r="H18" s="571">
        <v>199126</v>
      </c>
      <c r="I18" s="571">
        <v>242479</v>
      </c>
      <c r="J18" s="571">
        <v>287022</v>
      </c>
      <c r="L18" s="315" t="s">
        <v>4963</v>
      </c>
      <c r="M18" s="315" t="s">
        <v>1266</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85" customHeight="1">
      <c r="A19" s="98"/>
      <c r="D19" s="570" t="s">
        <v>4963</v>
      </c>
      <c r="E19" s="570" t="s">
        <v>1267</v>
      </c>
      <c r="F19" s="571">
        <v>113715</v>
      </c>
      <c r="G19" s="571">
        <v>155238</v>
      </c>
      <c r="H19" s="571">
        <v>196629</v>
      </c>
      <c r="I19" s="571">
        <v>259171</v>
      </c>
      <c r="J19" s="571">
        <v>321151</v>
      </c>
      <c r="L19" s="315" t="s">
        <v>4963</v>
      </c>
      <c r="M19" s="315" t="s">
        <v>1267</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85" customHeight="1">
      <c r="A20" s="98"/>
      <c r="D20" s="150" t="s">
        <v>4981</v>
      </c>
      <c r="E20" s="150" t="s">
        <v>6734</v>
      </c>
      <c r="F20" s="486">
        <v>151294</v>
      </c>
      <c r="G20" s="486">
        <v>195836</v>
      </c>
      <c r="H20" s="486">
        <v>234374</v>
      </c>
      <c r="I20" s="486">
        <v>279532</v>
      </c>
      <c r="J20" s="486">
        <v>329464</v>
      </c>
      <c r="L20" s="150" t="s">
        <v>4981</v>
      </c>
      <c r="M20" s="315" t="s">
        <v>6734</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85" customHeight="1">
      <c r="A21" s="98"/>
      <c r="D21" s="150" t="s">
        <v>4981</v>
      </c>
      <c r="E21" s="150" t="s">
        <v>1268</v>
      </c>
      <c r="F21" s="486">
        <v>117895</v>
      </c>
      <c r="G21" s="486">
        <v>165052</v>
      </c>
      <c r="H21" s="486">
        <v>212210</v>
      </c>
      <c r="I21" s="486">
        <v>282947</v>
      </c>
      <c r="J21" s="486">
        <v>353684</v>
      </c>
      <c r="L21" s="150" t="s">
        <v>4981</v>
      </c>
      <c r="M21" s="315" t="s">
        <v>1268</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85" customHeight="1">
      <c r="A22" s="98"/>
      <c r="D22" s="150" t="s">
        <v>4981</v>
      </c>
      <c r="E22" s="150" t="s">
        <v>1266</v>
      </c>
      <c r="F22" s="486">
        <v>129687</v>
      </c>
      <c r="G22" s="486">
        <v>169491</v>
      </c>
      <c r="H22" s="486">
        <v>205524</v>
      </c>
      <c r="I22" s="486">
        <v>251113</v>
      </c>
      <c r="J22" s="486">
        <v>297714</v>
      </c>
      <c r="L22" s="150" t="s">
        <v>4981</v>
      </c>
      <c r="M22" s="315" t="s">
        <v>1266</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85" customHeight="1">
      <c r="A23" s="98"/>
      <c r="D23" s="150" t="s">
        <v>4981</v>
      </c>
      <c r="E23" s="150" t="s">
        <v>1267</v>
      </c>
      <c r="F23" s="486">
        <v>115673</v>
      </c>
      <c r="G23" s="486">
        <v>157490</v>
      </c>
      <c r="H23" s="486">
        <v>199159</v>
      </c>
      <c r="I23" s="486">
        <v>262174</v>
      </c>
      <c r="J23" s="486">
        <v>324557</v>
      </c>
      <c r="L23" s="150" t="s">
        <v>4981</v>
      </c>
      <c r="M23" s="315" t="s">
        <v>1267</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85" customHeight="1">
      <c r="A24" s="98"/>
      <c r="D24" s="572" t="s">
        <v>5015</v>
      </c>
      <c r="E24" s="572" t="s">
        <v>6734</v>
      </c>
      <c r="F24" s="573">
        <v>142816</v>
      </c>
      <c r="G24" s="573">
        <v>184662</v>
      </c>
      <c r="H24" s="573">
        <v>220865</v>
      </c>
      <c r="I24" s="573">
        <v>263215</v>
      </c>
      <c r="J24" s="573">
        <v>310038</v>
      </c>
      <c r="L24" s="150" t="s">
        <v>5015</v>
      </c>
      <c r="M24" s="150" t="s">
        <v>6734</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85" customHeight="1">
      <c r="A25" s="98"/>
      <c r="D25" s="572" t="s">
        <v>5015</v>
      </c>
      <c r="E25" s="572" t="s">
        <v>1268</v>
      </c>
      <c r="F25" s="573">
        <v>111333</v>
      </c>
      <c r="G25" s="573">
        <v>155866</v>
      </c>
      <c r="H25" s="573">
        <v>200399</v>
      </c>
      <c r="I25" s="573">
        <v>267199</v>
      </c>
      <c r="J25" s="573">
        <v>333999</v>
      </c>
      <c r="L25" s="150" t="s">
        <v>5015</v>
      </c>
      <c r="M25" s="150" t="s">
        <v>1268</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85" customHeight="1">
      <c r="A26" s="98"/>
      <c r="D26" s="572" t="s">
        <v>5015</v>
      </c>
      <c r="E26" s="572" t="s">
        <v>1266</v>
      </c>
      <c r="F26" s="573">
        <v>123345</v>
      </c>
      <c r="G26" s="573">
        <v>160923</v>
      </c>
      <c r="H26" s="573">
        <v>194869</v>
      </c>
      <c r="I26" s="573">
        <v>237606</v>
      </c>
      <c r="J26" s="573">
        <v>281429</v>
      </c>
      <c r="L26" s="150" t="s">
        <v>5015</v>
      </c>
      <c r="M26" s="150" t="s">
        <v>1266</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85" customHeight="1">
      <c r="A27" s="98"/>
      <c r="D27" s="572" t="s">
        <v>5015</v>
      </c>
      <c r="E27" s="572" t="s">
        <v>1267</v>
      </c>
      <c r="F27" s="573">
        <v>110658</v>
      </c>
      <c r="G27" s="573">
        <v>150909</v>
      </c>
      <c r="H27" s="573">
        <v>191026</v>
      </c>
      <c r="I27" s="573">
        <v>251664</v>
      </c>
      <c r="J27" s="573">
        <v>311733</v>
      </c>
      <c r="L27" s="150" t="s">
        <v>5015</v>
      </c>
      <c r="M27" s="150" t="s">
        <v>1267</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85" customHeight="1">
      <c r="A28" s="98"/>
      <c r="D28" s="574" t="s">
        <v>4888</v>
      </c>
      <c r="E28" s="574" t="s">
        <v>6734</v>
      </c>
      <c r="F28" s="575">
        <v>145346</v>
      </c>
      <c r="G28" s="575">
        <v>188013</v>
      </c>
      <c r="H28" s="575">
        <v>224927</v>
      </c>
      <c r="I28" s="575">
        <v>268137</v>
      </c>
      <c r="J28" s="575">
        <v>315913</v>
      </c>
      <c r="L28" s="315" t="s">
        <v>4888</v>
      </c>
      <c r="M28" s="315" t="s">
        <v>6734</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85" customHeight="1">
      <c r="A29" s="98"/>
      <c r="D29" s="574" t="s">
        <v>4888</v>
      </c>
      <c r="E29" s="574" t="s">
        <v>1268</v>
      </c>
      <c r="F29" s="575">
        <v>113288</v>
      </c>
      <c r="G29" s="575">
        <v>158603</v>
      </c>
      <c r="H29" s="575">
        <v>203918</v>
      </c>
      <c r="I29" s="575">
        <v>271890</v>
      </c>
      <c r="J29" s="575">
        <v>339863</v>
      </c>
      <c r="L29" s="315" t="s">
        <v>4888</v>
      </c>
      <c r="M29" s="315" t="s">
        <v>1268</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85" customHeight="1">
      <c r="A30" s="98"/>
      <c r="D30" s="574" t="s">
        <v>4888</v>
      </c>
      <c r="E30" s="574" t="s">
        <v>1266</v>
      </c>
      <c r="F30" s="575">
        <v>125163</v>
      </c>
      <c r="G30" s="575">
        <v>163405</v>
      </c>
      <c r="H30" s="575">
        <v>197979</v>
      </c>
      <c r="I30" s="575">
        <v>241592</v>
      </c>
      <c r="J30" s="575">
        <v>286257</v>
      </c>
      <c r="L30" s="315" t="s">
        <v>4888</v>
      </c>
      <c r="M30" s="315" t="s">
        <v>1266</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85" customHeight="1">
      <c r="A31" s="98"/>
      <c r="D31" s="574" t="s">
        <v>4888</v>
      </c>
      <c r="E31" s="574" t="s">
        <v>1267</v>
      </c>
      <c r="F31" s="575">
        <v>112036</v>
      </c>
      <c r="G31" s="575">
        <v>152693</v>
      </c>
      <c r="H31" s="575">
        <v>193210</v>
      </c>
      <c r="I31" s="575">
        <v>254464</v>
      </c>
      <c r="J31" s="575">
        <v>315128</v>
      </c>
      <c r="L31" s="315" t="s">
        <v>4888</v>
      </c>
      <c r="M31" s="315" t="s">
        <v>1267</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85" customHeight="1">
      <c r="A32" s="98"/>
      <c r="D32" s="566" t="s">
        <v>4859</v>
      </c>
      <c r="E32" s="566" t="s">
        <v>6734</v>
      </c>
      <c r="F32" s="567">
        <v>148008</v>
      </c>
      <c r="G32" s="567">
        <v>191377</v>
      </c>
      <c r="H32" s="567">
        <v>228898</v>
      </c>
      <c r="I32" s="567">
        <v>272788</v>
      </c>
      <c r="J32" s="567">
        <v>321315</v>
      </c>
      <c r="L32" s="315" t="s">
        <v>4859</v>
      </c>
      <c r="M32" s="315" t="s">
        <v>6734</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85" customHeight="1">
      <c r="A33" s="98"/>
      <c r="D33" s="566" t="s">
        <v>4859</v>
      </c>
      <c r="E33" s="566" t="s">
        <v>1268</v>
      </c>
      <c r="F33" s="567">
        <v>115381</v>
      </c>
      <c r="G33" s="567">
        <v>161533</v>
      </c>
      <c r="H33" s="567">
        <v>207685</v>
      </c>
      <c r="I33" s="567">
        <v>276913</v>
      </c>
      <c r="J33" s="567">
        <v>346142</v>
      </c>
      <c r="L33" s="315" t="s">
        <v>4859</v>
      </c>
      <c r="M33" s="315" t="s">
        <v>1268</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85" customHeight="1">
      <c r="A34" s="98"/>
      <c r="D34" s="566" t="s">
        <v>4859</v>
      </c>
      <c r="E34" s="566" t="s">
        <v>1266</v>
      </c>
      <c r="F34" s="567">
        <v>127825</v>
      </c>
      <c r="G34" s="567">
        <v>166769</v>
      </c>
      <c r="H34" s="567">
        <v>201950</v>
      </c>
      <c r="I34" s="567">
        <v>246243</v>
      </c>
      <c r="J34" s="567">
        <v>291659</v>
      </c>
      <c r="L34" s="315" t="s">
        <v>4859</v>
      </c>
      <c r="M34" s="315" t="s">
        <v>1266</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85" customHeight="1">
      <c r="A35" s="98"/>
      <c r="D35" s="566" t="s">
        <v>4859</v>
      </c>
      <c r="E35" s="566" t="s">
        <v>1267</v>
      </c>
      <c r="F35" s="567">
        <v>114674</v>
      </c>
      <c r="G35" s="567">
        <v>156385</v>
      </c>
      <c r="H35" s="567">
        <v>197957</v>
      </c>
      <c r="I35" s="567">
        <v>260794</v>
      </c>
      <c r="J35" s="567">
        <v>323041</v>
      </c>
      <c r="L35" s="315" t="s">
        <v>4859</v>
      </c>
      <c r="M35" s="315" t="s">
        <v>1267</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85" customHeight="1">
      <c r="A36" s="98"/>
      <c r="D36" s="570" t="s">
        <v>2143</v>
      </c>
      <c r="E36" s="570" t="s">
        <v>6734</v>
      </c>
      <c r="F36" s="571">
        <v>135717</v>
      </c>
      <c r="G36" s="571">
        <v>175691</v>
      </c>
      <c r="H36" s="571">
        <v>210278</v>
      </c>
      <c r="I36" s="571">
        <v>250813</v>
      </c>
      <c r="J36" s="571">
        <v>295633</v>
      </c>
      <c r="L36" s="315" t="s">
        <v>2143</v>
      </c>
      <c r="M36" s="315" t="s">
        <v>6734</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85" customHeight="1">
      <c r="A37" s="98"/>
      <c r="D37" s="570" t="s">
        <v>2143</v>
      </c>
      <c r="E37" s="570" t="s">
        <v>1268</v>
      </c>
      <c r="F37" s="571">
        <v>105752</v>
      </c>
      <c r="G37" s="571">
        <v>148052</v>
      </c>
      <c r="H37" s="571">
        <v>190353</v>
      </c>
      <c r="I37" s="571">
        <v>253804</v>
      </c>
      <c r="J37" s="571">
        <v>317255</v>
      </c>
      <c r="L37" s="315" t="s">
        <v>2143</v>
      </c>
      <c r="M37" s="315" t="s">
        <v>1268</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85" customHeight="1">
      <c r="A38" s="98"/>
      <c r="D38" s="570" t="s">
        <v>2143</v>
      </c>
      <c r="E38" s="570" t="s">
        <v>1266</v>
      </c>
      <c r="F38" s="571">
        <v>116246</v>
      </c>
      <c r="G38" s="571">
        <v>151952</v>
      </c>
      <c r="H38" s="571">
        <v>184281</v>
      </c>
      <c r="I38" s="571">
        <v>225204</v>
      </c>
      <c r="J38" s="571">
        <v>267023</v>
      </c>
      <c r="L38" s="315" t="s">
        <v>2143</v>
      </c>
      <c r="M38" s="315" t="s">
        <v>1266</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85" customHeight="1">
      <c r="A39" s="98"/>
      <c r="D39" s="570" t="s">
        <v>2143</v>
      </c>
      <c r="E39" s="570" t="s">
        <v>1267</v>
      </c>
      <c r="F39" s="571">
        <v>103624</v>
      </c>
      <c r="G39" s="571">
        <v>141062</v>
      </c>
      <c r="H39" s="571">
        <v>178366</v>
      </c>
      <c r="I39" s="571">
        <v>234784</v>
      </c>
      <c r="J39" s="571">
        <v>290632</v>
      </c>
      <c r="L39" s="315" t="s">
        <v>2143</v>
      </c>
      <c r="M39" s="315" t="s">
        <v>1267</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c r="A42" s="1224" t="s">
        <v>6735</v>
      </c>
      <c r="B42" s="1225"/>
      <c r="C42" s="1225"/>
    </row>
    <row r="44" spans="1:295" s="12" customFormat="1" ht="12.75" customHeight="1">
      <c r="A44" s="2521" t="s">
        <v>25</v>
      </c>
      <c r="B44" s="3" t="s">
        <v>1453</v>
      </c>
      <c r="C44" s="3"/>
      <c r="D44" s="3"/>
      <c r="E44" s="2586"/>
      <c r="F44" s="77"/>
      <c r="G44" s="344"/>
      <c r="H44" s="344"/>
      <c r="I44" s="344"/>
      <c r="J44" s="43"/>
      <c r="K44" s="77"/>
      <c r="L44" s="345"/>
      <c r="M44" s="345"/>
      <c r="N44" s="345"/>
      <c r="O44" s="66" t="s">
        <v>1450</v>
      </c>
      <c r="P44" s="4401"/>
      <c r="Q44" s="4390"/>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61"/>
      <c r="B45" s="4561"/>
      <c r="C45" s="4561"/>
      <c r="D45" s="4561"/>
      <c r="E45" s="4561"/>
      <c r="F45" s="860"/>
      <c r="G45" s="4545" t="s">
        <v>6736</v>
      </c>
      <c r="H45" s="4546"/>
      <c r="I45" s="38"/>
      <c r="J45" s="43"/>
      <c r="K45" s="4547" t="s">
        <v>6737</v>
      </c>
      <c r="L45" s="4548"/>
      <c r="M45" s="4548"/>
      <c r="N45" s="4549"/>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61"/>
      <c r="B46" s="4561"/>
      <c r="C46" s="4561"/>
      <c r="D46" s="4561"/>
      <c r="E46" s="4561"/>
      <c r="F46" s="860"/>
      <c r="G46" s="4550" t="s">
        <v>6738</v>
      </c>
      <c r="H46" s="4551"/>
      <c r="I46" s="38"/>
      <c r="J46" s="43"/>
      <c r="K46" s="4556" t="s">
        <v>6739</v>
      </c>
      <c r="L46" s="4557"/>
      <c r="M46" s="4557"/>
      <c r="N46" s="4558"/>
      <c r="O46" s="77"/>
      <c r="P46" s="292" t="s">
        <v>6740</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509"/>
      <c r="L47" s="4509"/>
      <c r="M47" s="4509"/>
      <c r="N47" s="4509"/>
      <c r="O47" s="77"/>
      <c r="P47" s="4559" t="s">
        <v>6741</v>
      </c>
      <c r="Q47" s="4559"/>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1329</v>
      </c>
      <c r="E48" s="77"/>
      <c r="F48" s="348" t="s">
        <v>6742</v>
      </c>
      <c r="G48" s="4574" t="s">
        <v>6743</v>
      </c>
      <c r="H48" s="4574"/>
      <c r="I48" s="4574"/>
      <c r="J48" s="77"/>
      <c r="K48" s="348" t="s">
        <v>6742</v>
      </c>
      <c r="L48" s="4574" t="s">
        <v>6744</v>
      </c>
      <c r="M48" s="4574"/>
      <c r="N48" s="4574"/>
      <c r="O48" s="77"/>
      <c r="P48" s="4559"/>
      <c r="Q48" s="4559"/>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44" t="s">
        <v>6734</v>
      </c>
      <c r="B49" s="4544"/>
      <c r="C49" s="4544"/>
      <c r="D49" s="483" t="s">
        <v>770</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60"/>
      <c r="Q49" s="4560"/>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44"/>
      <c r="B50" s="4544"/>
      <c r="C50" s="4544"/>
      <c r="D50" s="483" t="s">
        <v>812</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66" t="e">
        <f>IF(#REF!="","",VLOOKUP(#REF!,#REF!,8,FALSE))</f>
        <v>#REF!</v>
      </c>
      <c r="Q50" s="4567"/>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44"/>
      <c r="B51" s="4544"/>
      <c r="C51" s="4544"/>
      <c r="D51" s="483" t="s">
        <v>813</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68"/>
      <c r="Q51" s="4569"/>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44"/>
      <c r="B52" s="4544"/>
      <c r="C52" s="4544"/>
      <c r="D52" s="483" t="s">
        <v>814</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377" t="s">
        <v>6745</v>
      </c>
      <c r="Q52" s="4377"/>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815</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52" t="e">
        <f>#REF!</f>
        <v>#REF!</v>
      </c>
      <c r="Q53" s="4553"/>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6746</v>
      </c>
      <c r="E54" s="229"/>
      <c r="F54" s="631" t="e">
        <f>SUM(F49:F53)</f>
        <v>#REF!</v>
      </c>
      <c r="G54" s="349"/>
      <c r="H54" s="632"/>
      <c r="I54" s="633" t="e">
        <f>SUM(I49:I53)</f>
        <v>#REF!</v>
      </c>
      <c r="J54" s="634"/>
      <c r="K54" s="631" t="e">
        <f>SUM(K49:K53)</f>
        <v>#REF!</v>
      </c>
      <c r="L54" s="634"/>
      <c r="M54" s="632"/>
      <c r="N54" s="633" t="e">
        <f>SUM(N49:N53)</f>
        <v>#REF!</v>
      </c>
      <c r="O54" s="2586"/>
      <c r="P54" s="4377" t="s">
        <v>6747</v>
      </c>
      <c r="Q54" s="4377"/>
      <c r="R54" s="4592" t="s">
        <v>6748</v>
      </c>
      <c r="S54" s="4592"/>
      <c r="T54" s="4592"/>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44" t="s">
        <v>1266</v>
      </c>
      <c r="B56" s="4544"/>
      <c r="C56" s="4544"/>
      <c r="D56" s="483" t="s">
        <v>770</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52" t="e">
        <f>#REF!-#REF!-#REF!-#REF!-#REF!-#REF!</f>
        <v>#REF!</v>
      </c>
      <c r="Q56" s="4553"/>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44"/>
      <c r="B57" s="4544"/>
      <c r="C57" s="4544"/>
      <c r="D57" s="483" t="s">
        <v>812</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75" t="s">
        <v>6749</v>
      </c>
      <c r="Q57" s="4375"/>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44"/>
      <c r="B58" s="4544"/>
      <c r="C58" s="4544"/>
      <c r="D58" s="483" t="s">
        <v>813</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70"/>
      <c r="Q58" s="4571"/>
      <c r="R58" s="225"/>
      <c r="S58" s="4575" t="s">
        <v>6750</v>
      </c>
      <c r="T58" s="4576"/>
      <c r="U58" s="4576"/>
      <c r="V58" s="4577"/>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814</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72"/>
      <c r="Q59" s="4573"/>
      <c r="S59" s="4578"/>
      <c r="T59" s="4579"/>
      <c r="U59" s="4579"/>
      <c r="V59" s="4580"/>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815</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55" t="s">
        <v>6751</v>
      </c>
      <c r="Q60" s="4555"/>
      <c r="S60" s="4578"/>
      <c r="T60" s="4579"/>
      <c r="U60" s="4579"/>
      <c r="V60" s="4580"/>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6746</v>
      </c>
      <c r="E61" s="229"/>
      <c r="F61" s="631" t="e">
        <f>SUM(F56:F60)</f>
        <v>#REF!</v>
      </c>
      <c r="G61" s="349"/>
      <c r="H61" s="632"/>
      <c r="I61" s="633" t="e">
        <f>SUM(I56:I60)</f>
        <v>#REF!</v>
      </c>
      <c r="J61" s="634"/>
      <c r="K61" s="631" t="e">
        <f>SUM(K56:K60)</f>
        <v>#REF!</v>
      </c>
      <c r="L61" s="634"/>
      <c r="M61" s="632"/>
      <c r="N61" s="633" t="e">
        <f>SUM(N56:N60)</f>
        <v>#REF!</v>
      </c>
      <c r="O61" s="314"/>
      <c r="P61" s="637" t="s">
        <v>1730</v>
      </c>
      <c r="Q61" s="637" t="s">
        <v>1724</v>
      </c>
      <c r="R61" s="225"/>
      <c r="S61" s="4578"/>
      <c r="T61" s="4579"/>
      <c r="U61" s="4579"/>
      <c r="V61" s="4580"/>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78"/>
      <c r="T62" s="4579"/>
      <c r="U62" s="4579"/>
      <c r="V62" s="4580"/>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1267</v>
      </c>
      <c r="B63" s="322"/>
      <c r="C63" s="43"/>
      <c r="D63" s="483" t="s">
        <v>770</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78"/>
      <c r="T63" s="4579"/>
      <c r="U63" s="4579"/>
      <c r="V63" s="4580"/>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812</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55" t="s">
        <v>6752</v>
      </c>
      <c r="Q64" s="4555"/>
      <c r="S64" s="4578"/>
      <c r="T64" s="4579"/>
      <c r="U64" s="4579"/>
      <c r="V64" s="4580"/>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813</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1730</v>
      </c>
      <c r="Q65" s="637" t="s">
        <v>1724</v>
      </c>
      <c r="S65" s="4578"/>
      <c r="T65" s="4579"/>
      <c r="U65" s="4579"/>
      <c r="V65" s="4580"/>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814</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78"/>
      <c r="T66" s="4579"/>
      <c r="U66" s="4579"/>
      <c r="V66" s="4580"/>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815</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87" t="s">
        <v>6753</v>
      </c>
      <c r="Q67" s="4587"/>
      <c r="S67" s="4578"/>
      <c r="T67" s="4579"/>
      <c r="U67" s="4579"/>
      <c r="V67" s="4580"/>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6746</v>
      </c>
      <c r="E68" s="229"/>
      <c r="F68" s="631" t="e">
        <f>SUM(F63:F67)</f>
        <v>#REF!</v>
      </c>
      <c r="G68" s="349"/>
      <c r="H68" s="632"/>
      <c r="I68" s="633" t="e">
        <f>SUM(I63:I67)</f>
        <v>#REF!</v>
      </c>
      <c r="J68" s="634"/>
      <c r="K68" s="631" t="e">
        <f>SUM(K63:K67)</f>
        <v>#REF!</v>
      </c>
      <c r="L68" s="634"/>
      <c r="M68" s="632"/>
      <c r="N68" s="633" t="e">
        <f>SUM(N63:N67)</f>
        <v>#REF!</v>
      </c>
      <c r="O68" s="314"/>
      <c r="P68" s="4587"/>
      <c r="Q68" s="4587"/>
      <c r="S68" s="4578"/>
      <c r="T68" s="4579"/>
      <c r="U68" s="4579"/>
      <c r="V68" s="4580"/>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87"/>
      <c r="Q69" s="4587"/>
      <c r="R69" s="225"/>
      <c r="S69" s="4578"/>
      <c r="T69" s="4579"/>
      <c r="U69" s="4579"/>
      <c r="V69" s="4580"/>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1268</v>
      </c>
      <c r="B70" s="77"/>
      <c r="C70" s="43"/>
      <c r="D70" s="483" t="s">
        <v>770</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88"/>
      <c r="Q70" s="4588"/>
      <c r="R70" s="225"/>
      <c r="S70" s="4581"/>
      <c r="T70" s="4582"/>
      <c r="U70" s="4582"/>
      <c r="V70" s="4583"/>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812</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62" t="e">
        <f>IF(P58&gt;1,P58, IF(OR('Part VIII Scoring Criteria OLD'!$O$113='Part VIII Scoring Criteria OLD'!$M$113,AND(#REF!="Yes",'Part VIII Scoring Criteria OLD'!$O$378&gt;0)),H77+M77,H77))</f>
        <v>#REF!</v>
      </c>
      <c r="Q71" s="4563"/>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813</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64"/>
      <c r="Q72" s="4565"/>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814</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84" t="s">
        <v>6754</v>
      </c>
      <c r="Q73" s="4584"/>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815</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85"/>
      <c r="Q74" s="4585"/>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6746</v>
      </c>
      <c r="E75" s="229"/>
      <c r="F75" s="631" t="e">
        <f>SUM(F70:F74)</f>
        <v>#REF!</v>
      </c>
      <c r="G75" s="349"/>
      <c r="H75" s="632"/>
      <c r="I75" s="635" t="e">
        <f>SUM(I70:I74)</f>
        <v>#REF!</v>
      </c>
      <c r="J75" s="634"/>
      <c r="K75" s="631" t="e">
        <f>SUM(K70:K74)</f>
        <v>#REF!</v>
      </c>
      <c r="L75" s="634"/>
      <c r="M75" s="632"/>
      <c r="N75" s="635" t="e">
        <f>SUM(N70:N74)</f>
        <v>#REF!</v>
      </c>
      <c r="O75" s="314"/>
      <c r="P75" s="4585"/>
      <c r="Q75" s="4585"/>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85"/>
      <c r="Q76" s="4585"/>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6755</v>
      </c>
      <c r="B77" s="43"/>
      <c r="C77" s="43"/>
      <c r="D77" s="41"/>
      <c r="E77" s="48"/>
      <c r="F77" s="342" t="e">
        <f>F54+F61+F68+F75</f>
        <v>#REF!</v>
      </c>
      <c r="G77" s="163"/>
      <c r="H77" s="4593" t="e">
        <f>I54+I61+I68+I75</f>
        <v>#REF!</v>
      </c>
      <c r="I77" s="4593"/>
      <c r="J77" s="4593"/>
      <c r="K77" s="342" t="e">
        <f>K54+K61+K68+K75</f>
        <v>#REF!</v>
      </c>
      <c r="L77" s="343"/>
      <c r="M77" s="4593" t="e">
        <f>N54+N61+N68+N75</f>
        <v>#REF!</v>
      </c>
      <c r="N77" s="4593"/>
      <c r="O77" s="4593"/>
      <c r="P77" s="4585"/>
      <c r="Q77" s="4585"/>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1456</v>
      </c>
      <c r="C78" s="77"/>
      <c r="D78" s="44"/>
      <c r="E78" s="44"/>
      <c r="F78" s="44"/>
      <c r="G78" s="44"/>
      <c r="H78" s="16"/>
      <c r="I78" s="2596"/>
      <c r="J78" s="2596"/>
      <c r="K78" s="70" t="s">
        <v>1452</v>
      </c>
      <c r="L78" s="501"/>
      <c r="M78" s="501"/>
      <c r="N78" s="501"/>
      <c r="O78" s="501"/>
      <c r="P78" s="4586"/>
      <c r="Q78" s="4586"/>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82"/>
      <c r="B79" s="4383"/>
      <c r="C79" s="4383"/>
      <c r="D79" s="4383"/>
      <c r="E79" s="4383"/>
      <c r="F79" s="4383"/>
      <c r="G79" s="4383"/>
      <c r="H79" s="4383"/>
      <c r="I79" s="4383"/>
      <c r="J79" s="4384"/>
      <c r="K79" s="4386"/>
      <c r="L79" s="4387"/>
      <c r="M79" s="4387"/>
      <c r="N79" s="4387"/>
      <c r="O79" s="4387"/>
      <c r="P79" s="4387"/>
      <c r="Q79" s="4388"/>
      <c r="R79" s="248" t="s">
        <v>6410</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S58:V70"/>
    <mergeCell ref="P73:Q78"/>
    <mergeCell ref="P67:Q70"/>
    <mergeCell ref="F2:J2"/>
    <mergeCell ref="N2:R2"/>
    <mergeCell ref="R54:T54"/>
    <mergeCell ref="L48:N48"/>
    <mergeCell ref="H77:J77"/>
    <mergeCell ref="M77:O77"/>
    <mergeCell ref="P52:Q52"/>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A56:C58"/>
    <mergeCell ref="P44:Q44"/>
    <mergeCell ref="G45:H45"/>
    <mergeCell ref="K45:N45"/>
    <mergeCell ref="G46:H46"/>
    <mergeCell ref="P54:Q54"/>
    <mergeCell ref="P53:Q53"/>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140625" defaultRowHeight="12.75"/>
  <cols>
    <col min="1" max="1" width="6" customWidth="1"/>
    <col min="2" max="2" width="3.42578125" customWidth="1"/>
    <col min="3" max="3" width="10.5703125" customWidth="1"/>
    <col min="4" max="4" width="10.140625" customWidth="1"/>
    <col min="5" max="5" width="6.140625" customWidth="1"/>
    <col min="6" max="6" width="9.140625" customWidth="1"/>
    <col min="7" max="9" width="11.5703125" customWidth="1"/>
    <col min="10" max="10" width="9.140625" customWidth="1"/>
    <col min="11" max="11" width="11.85546875" customWidth="1"/>
    <col min="12" max="12" width="14.85546875" customWidth="1"/>
    <col min="13" max="13" width="6.85546875" customWidth="1"/>
    <col min="14" max="14" width="2.85546875" style="33" customWidth="1"/>
    <col min="15" max="16" width="6.85546875" style="9" customWidth="1"/>
    <col min="17" max="17" width="6" customWidth="1"/>
    <col min="18" max="21" width="9.140625" customWidth="1"/>
    <col min="22" max="23" width="10" customWidth="1"/>
  </cols>
  <sheetData>
    <row r="1" spans="1:25" s="12" customFormat="1" ht="14.1" customHeight="1">
      <c r="A1" s="3677" t="e">
        <f>CONCATENATE("PART EIGHT - SCORING CRITERIA","  -  ",#REF!," ",#REF!,", ",#REF!,", ",#REF!," County")</f>
        <v>#REF!</v>
      </c>
      <c r="B1" s="3678"/>
      <c r="C1" s="3678"/>
      <c r="D1" s="3678"/>
      <c r="E1" s="3678"/>
      <c r="F1" s="3678"/>
      <c r="G1" s="3678"/>
      <c r="H1" s="3678"/>
      <c r="I1" s="3678"/>
      <c r="J1" s="3678"/>
      <c r="K1" s="3678"/>
      <c r="L1" s="3678"/>
      <c r="M1" s="3678"/>
      <c r="N1" s="3678"/>
      <c r="O1" s="3678"/>
      <c r="P1" s="3679"/>
      <c r="Q1" s="4875" t="s">
        <v>6756</v>
      </c>
      <c r="R1" s="4875"/>
      <c r="S1" s="4875"/>
      <c r="T1" s="4875"/>
      <c r="U1" s="4875"/>
      <c r="V1" s="4875"/>
      <c r="W1" s="1352"/>
      <c r="X1" s="1321"/>
      <c r="Y1" s="77"/>
    </row>
    <row r="2" spans="1:25" s="12" customFormat="1" ht="4.3499999999999996" customHeight="1">
      <c r="A2" s="13"/>
      <c r="B2" s="13"/>
      <c r="C2" s="14"/>
      <c r="D2" s="13"/>
      <c r="E2" s="13"/>
      <c r="F2" s="13"/>
      <c r="G2" s="13"/>
      <c r="H2" s="13"/>
      <c r="I2" s="13"/>
      <c r="J2" s="13"/>
      <c r="K2" s="13"/>
      <c r="L2" s="13"/>
      <c r="M2" s="2596"/>
      <c r="N2" s="32"/>
      <c r="O2" s="2542"/>
      <c r="P2" s="2542"/>
      <c r="Q2" s="4875"/>
      <c r="R2" s="4875"/>
      <c r="S2" s="4875"/>
      <c r="T2" s="4875"/>
      <c r="U2" s="4875"/>
      <c r="V2" s="4875"/>
      <c r="W2" s="1352"/>
      <c r="X2" s="1321"/>
      <c r="Y2" s="77"/>
    </row>
    <row r="3" spans="1:25" s="18" customFormat="1" ht="12" customHeight="1">
      <c r="A3" s="4768" t="s">
        <v>6757</v>
      </c>
      <c r="B3" s="4768"/>
      <c r="C3" s="4768"/>
      <c r="D3" s="4768"/>
      <c r="E3" s="4768"/>
      <c r="F3" s="4768"/>
      <c r="G3" s="4768"/>
      <c r="H3" s="4768"/>
      <c r="I3" s="4768"/>
      <c r="J3" s="4768"/>
      <c r="K3" s="4768"/>
      <c r="L3" s="4768"/>
      <c r="M3" s="493"/>
      <c r="N3" s="32"/>
      <c r="O3" s="2934" t="s">
        <v>1723</v>
      </c>
      <c r="P3" s="2935" t="s">
        <v>1724</v>
      </c>
      <c r="Q3" s="4875"/>
      <c r="R3" s="4875"/>
      <c r="S3" s="4875"/>
      <c r="T3" s="4875"/>
      <c r="U3" s="4875"/>
      <c r="V3" s="4875"/>
      <c r="W3" s="1352"/>
      <c r="X3" s="1321"/>
      <c r="Y3" s="43"/>
    </row>
    <row r="4" spans="1:25" s="20" customFormat="1" ht="12" customHeight="1">
      <c r="A4" s="4768"/>
      <c r="B4" s="4768"/>
      <c r="C4" s="4768"/>
      <c r="D4" s="4768"/>
      <c r="E4" s="4768"/>
      <c r="F4" s="4768"/>
      <c r="G4" s="4768"/>
      <c r="H4" s="4768"/>
      <c r="I4" s="4768"/>
      <c r="J4" s="4768"/>
      <c r="K4" s="4768"/>
      <c r="L4" s="4768"/>
      <c r="M4" s="493"/>
      <c r="N4" s="36"/>
      <c r="O4" s="100" t="s">
        <v>1725</v>
      </c>
      <c r="P4" s="100" t="s">
        <v>1725</v>
      </c>
      <c r="Q4" s="4875"/>
      <c r="R4" s="4875"/>
      <c r="S4" s="4875"/>
      <c r="T4" s="4875"/>
      <c r="U4" s="4875"/>
      <c r="V4" s="4875"/>
    </row>
    <row r="5" spans="1:25" s="20" customFormat="1" ht="3" customHeight="1" thickBot="1">
      <c r="A5" s="43"/>
      <c r="B5" s="43"/>
      <c r="C5" s="43"/>
      <c r="D5" s="43"/>
      <c r="E5" s="43"/>
      <c r="F5" s="43"/>
      <c r="G5" s="43"/>
      <c r="H5" s="43"/>
      <c r="I5" s="43"/>
      <c r="J5" s="43"/>
      <c r="K5" s="43"/>
      <c r="M5" s="2530"/>
      <c r="N5" s="3"/>
      <c r="O5" s="2542"/>
      <c r="P5" s="9"/>
      <c r="Q5" s="4875"/>
      <c r="R5" s="4875"/>
      <c r="S5" s="4875"/>
      <c r="T5" s="4875"/>
      <c r="U5" s="4875"/>
      <c r="V5" s="4875"/>
    </row>
    <row r="6" spans="1:25" s="20" customFormat="1" ht="13.5" customHeight="1" thickTop="1" thickBot="1">
      <c r="A6" s="43"/>
      <c r="B6" s="4798" t="e">
        <f>#REF!</f>
        <v>#REF!</v>
      </c>
      <c r="C6" s="4798"/>
      <c r="D6" s="4798"/>
      <c r="E6" s="4798"/>
      <c r="F6" s="4798"/>
      <c r="G6" s="43"/>
      <c r="H6" s="43"/>
      <c r="I6" s="43"/>
      <c r="J6" s="43"/>
      <c r="L6" s="30" t="s">
        <v>1726</v>
      </c>
      <c r="M6" s="2"/>
      <c r="N6" s="2375"/>
      <c r="O6" s="1079" t="e">
        <f>O442</f>
        <v>#REF!</v>
      </c>
      <c r="P6" s="1079" t="e">
        <f>P442</f>
        <v>#REF!</v>
      </c>
      <c r="Q6" s="1030" t="s">
        <v>6758</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21</v>
      </c>
      <c r="B9" s="50" t="s">
        <v>6759</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6760</v>
      </c>
      <c r="B10" s="43"/>
      <c r="C10" s="43"/>
      <c r="D10" s="13"/>
      <c r="E10" s="13"/>
      <c r="F10" s="13"/>
      <c r="G10" s="23"/>
      <c r="H10" s="98" t="s">
        <v>6761</v>
      </c>
      <c r="I10" s="23"/>
      <c r="J10" s="23"/>
      <c r="K10" s="23"/>
      <c r="L10" s="23"/>
      <c r="M10" s="812" t="s">
        <v>6762</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6763</v>
      </c>
      <c r="B12" s="829" t="s">
        <v>6764</v>
      </c>
      <c r="C12" s="671"/>
      <c r="D12" s="671"/>
      <c r="E12" s="146" t="s">
        <v>6765</v>
      </c>
      <c r="F12" s="4795" t="s">
        <v>6766</v>
      </c>
      <c r="G12" s="4795"/>
      <c r="H12" s="4795"/>
      <c r="I12" s="4795"/>
      <c r="J12" s="4795"/>
      <c r="K12" s="4795"/>
      <c r="L12" s="4795"/>
      <c r="M12" s="4795"/>
      <c r="N12" s="4795"/>
      <c r="O12" s="830" t="s">
        <v>6767</v>
      </c>
      <c r="P12" s="831">
        <f>SUM(P13:P31)</f>
        <v>0</v>
      </c>
      <c r="Q12" s="4874" t="s">
        <v>6768</v>
      </c>
      <c r="R12" s="4874"/>
      <c r="S12" s="4874"/>
      <c r="T12" s="4874"/>
      <c r="U12" s="4874"/>
      <c r="V12" s="811"/>
      <c r="W12" s="43"/>
      <c r="X12" s="43"/>
      <c r="Y12" s="43"/>
    </row>
    <row r="13" spans="1:25" s="18" customFormat="1" ht="10.5" customHeight="1">
      <c r="A13" s="659" t="s">
        <v>57</v>
      </c>
      <c r="B13" s="2936" t="s">
        <v>1980</v>
      </c>
      <c r="C13" s="2937"/>
      <c r="D13" s="2938"/>
      <c r="E13" s="2939">
        <f>$O$103</f>
        <v>0</v>
      </c>
      <c r="F13" s="4796">
        <f>$A$109</f>
        <v>0</v>
      </c>
      <c r="G13" s="4797"/>
      <c r="H13" s="4797"/>
      <c r="I13" s="4797"/>
      <c r="J13" s="4797"/>
      <c r="K13" s="4797"/>
      <c r="L13" s="4797"/>
      <c r="M13" s="4797"/>
      <c r="N13" s="4797"/>
      <c r="O13" s="4797"/>
      <c r="P13" s="836"/>
      <c r="Q13" s="4874"/>
      <c r="R13" s="4874"/>
      <c r="S13" s="4874"/>
      <c r="T13" s="4874"/>
      <c r="U13" s="4874"/>
      <c r="V13" s="811"/>
      <c r="W13" s="43"/>
      <c r="X13" s="43"/>
      <c r="Y13" s="43"/>
    </row>
    <row r="14" spans="1:25" s="18" customFormat="1" ht="10.5" customHeight="1">
      <c r="A14" s="659" t="s">
        <v>66</v>
      </c>
      <c r="B14" s="548" t="s">
        <v>1981</v>
      </c>
      <c r="C14" s="628"/>
      <c r="D14" s="660"/>
      <c r="E14" s="1201">
        <f>$O$113</f>
        <v>0</v>
      </c>
      <c r="F14" s="4789">
        <f>$A$147</f>
        <v>0</v>
      </c>
      <c r="G14" s="4790"/>
      <c r="H14" s="4790"/>
      <c r="I14" s="4790"/>
      <c r="J14" s="4790"/>
      <c r="K14" s="4790"/>
      <c r="L14" s="4790"/>
      <c r="M14" s="4790"/>
      <c r="N14" s="4790"/>
      <c r="O14" s="4791"/>
      <c r="P14" s="837"/>
      <c r="Q14" s="4874"/>
      <c r="R14" s="4874"/>
      <c r="S14" s="4874"/>
      <c r="T14" s="4874"/>
      <c r="U14" s="4874"/>
      <c r="V14" s="43"/>
      <c r="W14" s="43"/>
      <c r="X14" s="43"/>
      <c r="Y14" s="43"/>
    </row>
    <row r="15" spans="1:25" s="18" customFormat="1" ht="10.5" customHeight="1">
      <c r="A15" s="659" t="s">
        <v>68</v>
      </c>
      <c r="B15" s="548" t="s">
        <v>1982</v>
      </c>
      <c r="C15" s="628"/>
      <c r="D15" s="660"/>
      <c r="E15" s="1201">
        <f>$O$152</f>
        <v>0</v>
      </c>
      <c r="F15" s="4789">
        <f>$A$165</f>
        <v>0</v>
      </c>
      <c r="G15" s="4790"/>
      <c r="H15" s="4790"/>
      <c r="I15" s="4790"/>
      <c r="J15" s="4790"/>
      <c r="K15" s="4790"/>
      <c r="L15" s="4790"/>
      <c r="M15" s="4790"/>
      <c r="N15" s="4790"/>
      <c r="O15" s="4791"/>
      <c r="P15" s="837"/>
      <c r="Q15" s="1357"/>
      <c r="R15" s="1357"/>
      <c r="S15" s="1357"/>
      <c r="T15" s="1357"/>
      <c r="U15" s="1357"/>
      <c r="V15" s="43"/>
      <c r="W15" s="43"/>
      <c r="X15" s="43"/>
      <c r="Y15" s="43"/>
    </row>
    <row r="16" spans="1:25" s="18" customFormat="1" ht="10.5" customHeight="1">
      <c r="A16" s="1078" t="s">
        <v>1481</v>
      </c>
      <c r="B16" s="548" t="s">
        <v>1924</v>
      </c>
      <c r="C16" s="628"/>
      <c r="D16" s="660"/>
      <c r="E16" s="826">
        <f>$O$169</f>
        <v>0</v>
      </c>
      <c r="F16" s="4789">
        <f>$A$186</f>
        <v>0</v>
      </c>
      <c r="G16" s="4790"/>
      <c r="H16" s="4790"/>
      <c r="I16" s="4790"/>
      <c r="J16" s="4790"/>
      <c r="K16" s="4790"/>
      <c r="L16" s="4790"/>
      <c r="M16" s="4790"/>
      <c r="N16" s="4790"/>
      <c r="O16" s="4791"/>
      <c r="P16" s="837"/>
      <c r="Q16" s="1357"/>
      <c r="R16" s="1357"/>
      <c r="S16" s="1357"/>
      <c r="T16" s="1357"/>
      <c r="U16" s="1357"/>
      <c r="V16" s="43"/>
      <c r="W16" s="43"/>
      <c r="X16" s="43"/>
      <c r="Y16" s="43"/>
    </row>
    <row r="17" spans="1:35" s="18" customFormat="1" ht="10.5" customHeight="1">
      <c r="A17" s="659" t="s">
        <v>1485</v>
      </c>
      <c r="B17" s="666" t="s">
        <v>1898</v>
      </c>
      <c r="C17" s="667"/>
      <c r="D17" s="668"/>
      <c r="E17" s="827" t="s">
        <v>2062</v>
      </c>
      <c r="F17" s="4799">
        <f>$A$201</f>
        <v>0</v>
      </c>
      <c r="G17" s="4800"/>
      <c r="H17" s="4800"/>
      <c r="I17" s="4800"/>
      <c r="J17" s="4800"/>
      <c r="K17" s="4800"/>
      <c r="L17" s="4800"/>
      <c r="M17" s="4800"/>
      <c r="N17" s="4800"/>
      <c r="O17" s="4801"/>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1487</v>
      </c>
      <c r="B18" s="548" t="s">
        <v>1925</v>
      </c>
      <c r="C18" s="628"/>
      <c r="D18" s="660"/>
      <c r="E18" s="825">
        <f>$O$205</f>
        <v>0</v>
      </c>
      <c r="F18" s="4789">
        <f>$A$220</f>
        <v>0</v>
      </c>
      <c r="G18" s="4790"/>
      <c r="H18" s="4790"/>
      <c r="I18" s="4790"/>
      <c r="J18" s="4790"/>
      <c r="K18" s="4790"/>
      <c r="L18" s="4790"/>
      <c r="M18" s="4790"/>
      <c r="N18" s="4790"/>
      <c r="O18" s="4791"/>
      <c r="P18" s="837"/>
      <c r="Q18" s="4845" t="str">
        <f>IF(OR($A$109="",$A$147="",$A$165="",$A$186="",$A$201="",$A$220="",$A$238="",$A$248="",$A$257="",$A$281="",$A$306="",$A$314="",$A$338="",$A$374="",$A$393="",$A$414="",$A$420="",$A$430="",$A$438=""),"Some Applicant Scoring Justification boxes are empty! Check to see if points claimed.","")</f>
        <v>Some Applicant Scoring Justification boxes are empty! Check to see if points claimed.</v>
      </c>
      <c r="R18" s="4846"/>
      <c r="S18" s="4846"/>
      <c r="T18" s="43"/>
      <c r="U18" s="43"/>
      <c r="V18" s="43"/>
      <c r="W18" s="43"/>
      <c r="X18" s="43"/>
      <c r="Y18" s="43"/>
      <c r="Z18" s="43"/>
      <c r="AA18" s="43"/>
      <c r="AB18" s="43"/>
      <c r="AC18" s="43"/>
      <c r="AD18" s="43"/>
      <c r="AE18" s="43"/>
      <c r="AF18" s="43"/>
      <c r="AG18" s="43"/>
      <c r="AH18" s="43"/>
      <c r="AI18" s="43"/>
    </row>
    <row r="19" spans="1:35" s="18" customFormat="1" ht="10.5" customHeight="1">
      <c r="A19" s="659" t="s">
        <v>6769</v>
      </c>
      <c r="B19" s="548" t="s">
        <v>1985</v>
      </c>
      <c r="C19" s="628"/>
      <c r="D19" s="660"/>
      <c r="E19" s="825">
        <f>$O$233</f>
        <v>0</v>
      </c>
      <c r="F19" s="4789">
        <f>$A$238</f>
        <v>0</v>
      </c>
      <c r="G19" s="4790"/>
      <c r="H19" s="4790"/>
      <c r="I19" s="4790"/>
      <c r="J19" s="4790"/>
      <c r="K19" s="4790"/>
      <c r="L19" s="4790"/>
      <c r="M19" s="4790"/>
      <c r="N19" s="4790"/>
      <c r="O19" s="4791"/>
      <c r="P19" s="837"/>
      <c r="Q19" s="4845"/>
      <c r="R19" s="4846"/>
      <c r="S19" s="4846"/>
      <c r="T19" s="43"/>
      <c r="U19" s="43"/>
      <c r="V19" s="43"/>
      <c r="W19" s="43"/>
      <c r="X19" s="43"/>
      <c r="Y19" s="43"/>
      <c r="Z19" s="43"/>
      <c r="AA19" s="43"/>
      <c r="AB19" s="43"/>
      <c r="AC19" s="43"/>
      <c r="AD19" s="43"/>
      <c r="AE19" s="43"/>
      <c r="AF19" s="43"/>
      <c r="AG19" s="43"/>
      <c r="AH19" s="43"/>
      <c r="AI19" s="43"/>
    </row>
    <row r="20" spans="1:35" s="18" customFormat="1" ht="10.5" customHeight="1">
      <c r="A20" s="659" t="s">
        <v>6770</v>
      </c>
      <c r="B20" s="548" t="s">
        <v>2161</v>
      </c>
      <c r="C20" s="628"/>
      <c r="D20" s="660"/>
      <c r="E20" s="827">
        <f>$O$242</f>
        <v>0</v>
      </c>
      <c r="F20" s="4789">
        <f>$A$248</f>
        <v>0</v>
      </c>
      <c r="G20" s="4790"/>
      <c r="H20" s="4790"/>
      <c r="I20" s="4790"/>
      <c r="J20" s="4790"/>
      <c r="K20" s="4790"/>
      <c r="L20" s="4790"/>
      <c r="M20" s="4790"/>
      <c r="N20" s="4790"/>
      <c r="O20" s="4791"/>
      <c r="P20" s="837"/>
      <c r="Q20" s="4845"/>
      <c r="R20" s="4846"/>
      <c r="S20" s="4846"/>
      <c r="T20" s="43"/>
      <c r="U20" s="43"/>
      <c r="V20" s="43"/>
      <c r="W20" s="43"/>
      <c r="X20" s="43"/>
      <c r="Y20" s="43"/>
      <c r="Z20" s="43"/>
      <c r="AA20" s="43"/>
      <c r="AB20" s="43"/>
      <c r="AC20" s="43"/>
      <c r="AD20" s="43"/>
      <c r="AE20" s="43"/>
      <c r="AF20" s="43"/>
      <c r="AG20" s="43"/>
      <c r="AH20" s="43"/>
      <c r="AI20" s="43"/>
    </row>
    <row r="21" spans="1:35" s="18" customFormat="1" ht="10.5" customHeight="1">
      <c r="A21" s="665" t="s">
        <v>6771</v>
      </c>
      <c r="B21" s="666" t="s">
        <v>2074</v>
      </c>
      <c r="C21" s="667"/>
      <c r="D21" s="668"/>
      <c r="E21" s="828">
        <f>$O$252</f>
        <v>0</v>
      </c>
      <c r="F21" s="4799">
        <f>$A$257</f>
        <v>0</v>
      </c>
      <c r="G21" s="4800"/>
      <c r="H21" s="4800"/>
      <c r="I21" s="4800"/>
      <c r="J21" s="4800"/>
      <c r="K21" s="4800"/>
      <c r="L21" s="4800"/>
      <c r="M21" s="4800"/>
      <c r="N21" s="4800"/>
      <c r="O21" s="4801"/>
      <c r="P21" s="837"/>
      <c r="Q21" s="4845"/>
      <c r="R21" s="4846"/>
      <c r="S21" s="4846"/>
      <c r="T21" s="43"/>
      <c r="U21" s="43"/>
      <c r="V21" s="43"/>
      <c r="W21" s="43"/>
      <c r="X21" s="43"/>
      <c r="Y21" s="43"/>
      <c r="Z21" s="43"/>
      <c r="AA21" s="43"/>
      <c r="AB21" s="43"/>
      <c r="AC21" s="43"/>
      <c r="AD21" s="43"/>
      <c r="AE21" s="43"/>
      <c r="AF21" s="43"/>
      <c r="AG21" s="43"/>
      <c r="AH21" s="43"/>
      <c r="AI21" s="43"/>
    </row>
    <row r="22" spans="1:35" s="18" customFormat="1" ht="10.5" customHeight="1">
      <c r="A22" s="659" t="s">
        <v>6772</v>
      </c>
      <c r="B22" s="548" t="s">
        <v>6773</v>
      </c>
      <c r="C22" s="628"/>
      <c r="D22" s="660"/>
      <c r="E22" s="825">
        <f>$O$274</f>
        <v>0</v>
      </c>
      <c r="F22" s="4789">
        <f>$A$281</f>
        <v>0</v>
      </c>
      <c r="G22" s="4790"/>
      <c r="H22" s="4790"/>
      <c r="I22" s="4790"/>
      <c r="J22" s="4790"/>
      <c r="K22" s="4790"/>
      <c r="L22" s="4790"/>
      <c r="M22" s="4790"/>
      <c r="N22" s="4790"/>
      <c r="O22" s="4791"/>
      <c r="P22" s="837"/>
      <c r="Q22" s="4845"/>
      <c r="R22" s="4846"/>
      <c r="S22" s="4846"/>
      <c r="T22" s="43"/>
      <c r="U22" s="43"/>
      <c r="V22" s="43"/>
      <c r="W22" s="43"/>
      <c r="X22" s="43"/>
      <c r="Y22" s="43"/>
      <c r="Z22" s="43"/>
      <c r="AA22" s="43"/>
      <c r="AB22" s="43"/>
      <c r="AC22" s="43"/>
      <c r="AD22" s="43"/>
      <c r="AE22" s="43"/>
      <c r="AF22" s="43"/>
      <c r="AG22" s="43"/>
      <c r="AH22" s="43"/>
      <c r="AI22" s="43"/>
    </row>
    <row r="23" spans="1:35" s="18" customFormat="1" ht="10.5" customHeight="1">
      <c r="A23" s="659" t="s">
        <v>6774</v>
      </c>
      <c r="B23" s="548" t="s">
        <v>6775</v>
      </c>
      <c r="C23" s="628"/>
      <c r="D23" s="660"/>
      <c r="E23" s="825">
        <f>$O$285</f>
        <v>0</v>
      </c>
      <c r="F23" s="4789">
        <f>$A$306</f>
        <v>0</v>
      </c>
      <c r="G23" s="4790"/>
      <c r="H23" s="4790"/>
      <c r="I23" s="4790"/>
      <c r="J23" s="4790"/>
      <c r="K23" s="4790"/>
      <c r="L23" s="4790"/>
      <c r="M23" s="4790"/>
      <c r="N23" s="4790"/>
      <c r="O23" s="4791"/>
      <c r="P23" s="837"/>
      <c r="Q23" s="4845"/>
      <c r="R23" s="4846"/>
      <c r="S23" s="4846"/>
      <c r="T23" s="43"/>
      <c r="U23" s="43"/>
      <c r="V23" s="43"/>
      <c r="W23" s="43"/>
      <c r="X23" s="43"/>
      <c r="Y23" s="43"/>
      <c r="Z23" s="43"/>
      <c r="AA23" s="43"/>
      <c r="AB23" s="43"/>
      <c r="AC23" s="43"/>
      <c r="AD23" s="43"/>
      <c r="AE23" s="43"/>
      <c r="AF23" s="43"/>
      <c r="AG23" s="43"/>
      <c r="AH23" s="43"/>
      <c r="AI23" s="43"/>
    </row>
    <row r="24" spans="1:35" s="18" customFormat="1" ht="10.5" customHeight="1">
      <c r="A24" s="1078" t="s">
        <v>1548</v>
      </c>
      <c r="B24" s="1292" t="s">
        <v>2091</v>
      </c>
      <c r="C24" s="1293"/>
      <c r="D24" s="1294"/>
      <c r="E24" s="826">
        <f>$O$310</f>
        <v>0</v>
      </c>
      <c r="F24" s="4839">
        <f>$A$314</f>
        <v>0</v>
      </c>
      <c r="G24" s="4840"/>
      <c r="H24" s="4840"/>
      <c r="I24" s="4840"/>
      <c r="J24" s="4840"/>
      <c r="K24" s="4840"/>
      <c r="L24" s="4840"/>
      <c r="M24" s="4840"/>
      <c r="N24" s="4840"/>
      <c r="O24" s="4841"/>
      <c r="P24" s="837"/>
      <c r="Q24" s="4845"/>
      <c r="R24" s="4846"/>
      <c r="S24" s="4846"/>
      <c r="T24" s="43"/>
      <c r="U24" s="43"/>
      <c r="V24" s="43"/>
      <c r="W24" s="43"/>
      <c r="X24" s="43"/>
      <c r="Y24" s="43"/>
      <c r="Z24" s="43"/>
      <c r="AA24" s="43"/>
      <c r="AB24" s="43"/>
      <c r="AC24" s="43"/>
      <c r="AD24" s="43"/>
      <c r="AE24" s="43"/>
      <c r="AF24" s="43"/>
      <c r="AG24" s="43"/>
      <c r="AH24" s="43"/>
      <c r="AI24" s="43"/>
    </row>
    <row r="25" spans="1:35" s="18" customFormat="1" ht="10.5" customHeight="1">
      <c r="A25" s="659" t="s">
        <v>1565</v>
      </c>
      <c r="B25" s="548" t="s">
        <v>2095</v>
      </c>
      <c r="C25" s="628"/>
      <c r="D25" s="660"/>
      <c r="E25" s="825">
        <f>$O$334</f>
        <v>0</v>
      </c>
      <c r="F25" s="4789">
        <f>$A$338</f>
        <v>0</v>
      </c>
      <c r="G25" s="4790"/>
      <c r="H25" s="4790"/>
      <c r="I25" s="4790"/>
      <c r="J25" s="4790"/>
      <c r="K25" s="4790"/>
      <c r="L25" s="4790"/>
      <c r="M25" s="4790"/>
      <c r="N25" s="4790"/>
      <c r="O25" s="4791"/>
      <c r="P25" s="837"/>
      <c r="Q25" s="4845"/>
      <c r="R25" s="4846"/>
      <c r="S25" s="4846"/>
      <c r="T25" s="43"/>
      <c r="U25" s="43"/>
      <c r="V25" s="43"/>
      <c r="W25" s="43"/>
      <c r="X25" s="43"/>
      <c r="Y25" s="43"/>
      <c r="Z25" s="43"/>
      <c r="AA25" s="43"/>
      <c r="AB25" s="43"/>
      <c r="AC25" s="43"/>
      <c r="AD25" s="43"/>
      <c r="AE25" s="43"/>
      <c r="AF25" s="43"/>
      <c r="AG25" s="43"/>
      <c r="AH25" s="43"/>
      <c r="AI25" s="43"/>
    </row>
    <row r="26" spans="1:35" s="18" customFormat="1" ht="10.5" customHeight="1">
      <c r="A26" s="659" t="s">
        <v>1577</v>
      </c>
      <c r="B26" s="548" t="s">
        <v>2028</v>
      </c>
      <c r="C26" s="628"/>
      <c r="D26" s="660"/>
      <c r="E26" s="825">
        <f>$O$342</f>
        <v>0</v>
      </c>
      <c r="F26" s="4789">
        <f>$A$374</f>
        <v>0</v>
      </c>
      <c r="G26" s="4790"/>
      <c r="H26" s="4790"/>
      <c r="I26" s="4790"/>
      <c r="J26" s="4790"/>
      <c r="K26" s="4790"/>
      <c r="L26" s="4790"/>
      <c r="M26" s="4790"/>
      <c r="N26" s="4790"/>
      <c r="O26" s="4791"/>
      <c r="P26" s="837"/>
      <c r="Q26" s="4845"/>
      <c r="R26" s="4846"/>
      <c r="S26" s="4846"/>
      <c r="T26" s="43"/>
      <c r="U26" s="43"/>
      <c r="V26" s="43"/>
      <c r="W26" s="43"/>
      <c r="X26" s="43"/>
      <c r="Y26" s="43"/>
      <c r="Z26" s="43"/>
      <c r="AA26" s="43"/>
      <c r="AB26" s="43"/>
      <c r="AC26" s="43"/>
      <c r="AD26" s="43"/>
      <c r="AE26" s="43"/>
      <c r="AF26" s="43"/>
      <c r="AG26" s="43"/>
      <c r="AH26" s="43"/>
      <c r="AI26" s="43"/>
    </row>
    <row r="27" spans="1:35" s="18" customFormat="1" ht="10.5" customHeight="1">
      <c r="A27" s="659" t="s">
        <v>1582</v>
      </c>
      <c r="B27" s="548" t="s">
        <v>2087</v>
      </c>
      <c r="C27" s="628"/>
      <c r="D27" s="660"/>
      <c r="E27" s="827">
        <f>$O$378</f>
        <v>0</v>
      </c>
      <c r="F27" s="4789">
        <f>$A$393</f>
        <v>0</v>
      </c>
      <c r="G27" s="4790"/>
      <c r="H27" s="4790"/>
      <c r="I27" s="4790"/>
      <c r="J27" s="4790"/>
      <c r="K27" s="4790"/>
      <c r="L27" s="4790"/>
      <c r="M27" s="4790"/>
      <c r="N27" s="4790"/>
      <c r="O27" s="4791"/>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1593</v>
      </c>
      <c r="B28" s="662" t="s">
        <v>6776</v>
      </c>
      <c r="C28" s="663"/>
      <c r="D28" s="664"/>
      <c r="E28" s="1088">
        <f>$O$405</f>
        <v>2</v>
      </c>
      <c r="F28" s="4792">
        <f>$A$414</f>
        <v>0</v>
      </c>
      <c r="G28" s="4793"/>
      <c r="H28" s="4793"/>
      <c r="I28" s="4793"/>
      <c r="J28" s="4793"/>
      <c r="K28" s="4793"/>
      <c r="L28" s="4793"/>
      <c r="M28" s="4793"/>
      <c r="N28" s="4793"/>
      <c r="O28" s="4794"/>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1597</v>
      </c>
      <c r="B29" s="548" t="s">
        <v>1970</v>
      </c>
      <c r="C29" s="628"/>
      <c r="D29" s="660"/>
      <c r="E29" s="825">
        <f>$O$418</f>
        <v>0</v>
      </c>
      <c r="F29" s="4789">
        <f>$A$420</f>
        <v>0</v>
      </c>
      <c r="G29" s="4790"/>
      <c r="H29" s="4790"/>
      <c r="I29" s="4790"/>
      <c r="J29" s="4790"/>
      <c r="K29" s="4790"/>
      <c r="L29" s="4790"/>
      <c r="M29" s="4790"/>
      <c r="N29" s="4790"/>
      <c r="O29" s="4791"/>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1606</v>
      </c>
      <c r="B30" s="548" t="s">
        <v>6777</v>
      </c>
      <c r="C30" s="628"/>
      <c r="D30" s="660"/>
      <c r="E30" s="825">
        <f>$O$428</f>
        <v>0</v>
      </c>
      <c r="F30" s="4789">
        <f>$A$430</f>
        <v>0</v>
      </c>
      <c r="G30" s="4790"/>
      <c r="H30" s="4790"/>
      <c r="I30" s="4790"/>
      <c r="J30" s="4790"/>
      <c r="K30" s="4790"/>
      <c r="L30" s="4790"/>
      <c r="M30" s="4790"/>
      <c r="N30" s="4790"/>
      <c r="O30" s="4791"/>
      <c r="P30" s="837"/>
      <c r="Q30" s="1349"/>
      <c r="R30" s="1092"/>
      <c r="S30" s="1092"/>
      <c r="T30" s="43"/>
      <c r="U30" s="43"/>
      <c r="V30" s="43"/>
      <c r="W30" s="43"/>
      <c r="X30" s="43"/>
      <c r="Y30" s="43"/>
      <c r="Z30" s="43"/>
      <c r="AA30" s="3983" t="s">
        <v>2016</v>
      </c>
      <c r="AB30" s="3983"/>
      <c r="AC30" s="3983"/>
      <c r="AD30" s="3983"/>
      <c r="AE30" s="3983"/>
      <c r="AF30" s="3983"/>
      <c r="AG30" s="43"/>
      <c r="AH30" s="43"/>
      <c r="AI30" s="43"/>
    </row>
    <row r="31" spans="1:35" s="18" customFormat="1" ht="10.5" customHeight="1">
      <c r="A31" s="661" t="s">
        <v>1610</v>
      </c>
      <c r="B31" s="662" t="s">
        <v>6778</v>
      </c>
      <c r="C31" s="663"/>
      <c r="D31" s="664"/>
      <c r="E31" s="1088">
        <f>$O$434</f>
        <v>0</v>
      </c>
      <c r="F31" s="4792">
        <f>$A$438</f>
        <v>0</v>
      </c>
      <c r="G31" s="4793"/>
      <c r="H31" s="4793"/>
      <c r="I31" s="4793"/>
      <c r="J31" s="4793"/>
      <c r="K31" s="4793"/>
      <c r="L31" s="4793"/>
      <c r="M31" s="4793"/>
      <c r="N31" s="4793"/>
      <c r="O31" s="4794"/>
      <c r="P31" s="838"/>
      <c r="Q31" s="1349"/>
      <c r="R31" s="1092"/>
      <c r="S31" s="1092"/>
      <c r="T31" s="43"/>
      <c r="U31" s="43"/>
      <c r="V31" s="43"/>
      <c r="W31" s="43"/>
      <c r="X31" s="3983" t="s">
        <v>2017</v>
      </c>
      <c r="Y31" s="3983"/>
      <c r="Z31" s="3983"/>
      <c r="AA31" s="3983"/>
      <c r="AB31" s="3983"/>
      <c r="AC31" s="3983"/>
      <c r="AD31" s="3983" t="s">
        <v>2018</v>
      </c>
      <c r="AE31" s="3983"/>
      <c r="AF31" s="3983"/>
      <c r="AG31" s="3983"/>
      <c r="AH31" s="3983"/>
      <c r="AI31" s="3983"/>
    </row>
    <row r="32" spans="1:35" s="77" customFormat="1" ht="5.25" customHeight="1">
      <c r="C32" s="40"/>
      <c r="D32" s="40"/>
      <c r="E32" s="40"/>
      <c r="F32" s="40"/>
      <c r="G32" s="1009"/>
      <c r="H32" s="40"/>
      <c r="I32" s="40"/>
      <c r="J32" s="40"/>
      <c r="K32" s="40"/>
    </row>
    <row r="33" spans="1:46" s="77" customFormat="1" ht="12.75" customHeight="1">
      <c r="A33" s="79" t="s">
        <v>25</v>
      </c>
      <c r="B33" s="50" t="s">
        <v>1728</v>
      </c>
      <c r="C33" s="42"/>
      <c r="D33" s="40"/>
      <c r="E33" s="40"/>
      <c r="F33" s="40"/>
      <c r="G33" s="4850" t="s">
        <v>6779</v>
      </c>
      <c r="H33" s="4850"/>
      <c r="I33" s="4847" t="s">
        <v>2019</v>
      </c>
      <c r="J33" s="4848"/>
      <c r="K33" s="4848"/>
      <c r="L33" s="4849"/>
      <c r="M33" s="4802" t="s">
        <v>2020</v>
      </c>
      <c r="N33" s="4802"/>
      <c r="O33" s="4802"/>
      <c r="P33" s="4802"/>
      <c r="Q33" s="310"/>
      <c r="R33" s="310"/>
      <c r="S33" s="50" t="s">
        <v>1728</v>
      </c>
      <c r="T33" s="310"/>
      <c r="U33" s="310"/>
      <c r="V33" s="310"/>
      <c r="X33" s="4833" t="s">
        <v>6779</v>
      </c>
      <c r="Y33" s="4835"/>
      <c r="Z33" s="4833" t="s">
        <v>2019</v>
      </c>
      <c r="AA33" s="4834"/>
      <c r="AB33" s="4834"/>
      <c r="AC33" s="4835"/>
      <c r="AD33" s="4842" t="s">
        <v>6779</v>
      </c>
      <c r="AE33" s="4843"/>
      <c r="AF33" s="4844" t="s">
        <v>2019</v>
      </c>
      <c r="AG33" s="4842"/>
      <c r="AH33" s="4842"/>
      <c r="AI33" s="4843"/>
    </row>
    <row r="34" spans="1:46" s="77" customFormat="1" ht="11.25" customHeight="1">
      <c r="A34" s="25"/>
      <c r="B34" s="13"/>
      <c r="C34" s="25"/>
      <c r="D34" s="25"/>
      <c r="E34" s="25"/>
      <c r="F34" s="25"/>
      <c r="G34" s="1167">
        <v>0.09</v>
      </c>
      <c r="H34" s="1167">
        <v>0.04</v>
      </c>
      <c r="I34" s="1167">
        <v>0.04</v>
      </c>
      <c r="J34" s="1167" t="s">
        <v>2156</v>
      </c>
      <c r="K34" s="1167" t="s">
        <v>2154</v>
      </c>
      <c r="L34" s="1167" t="s">
        <v>2155</v>
      </c>
      <c r="M34" s="4836" t="e">
        <f>#REF!</f>
        <v>#REF!</v>
      </c>
      <c r="N34" s="4837"/>
      <c r="O34" s="4837"/>
      <c r="P34" s="4838"/>
      <c r="Q34" s="310"/>
      <c r="R34" s="25"/>
      <c r="S34" s="13"/>
      <c r="T34" s="25"/>
      <c r="U34" s="25"/>
      <c r="V34" s="25"/>
      <c r="W34" s="25"/>
      <c r="X34" s="1167">
        <v>0.09</v>
      </c>
      <c r="Y34" s="1167">
        <v>0.04</v>
      </c>
      <c r="Z34" s="1167">
        <v>0.04</v>
      </c>
      <c r="AA34" s="1167" t="s">
        <v>2156</v>
      </c>
      <c r="AB34" s="1167" t="s">
        <v>2154</v>
      </c>
      <c r="AC34" s="1167" t="s">
        <v>2155</v>
      </c>
      <c r="AD34" s="1167">
        <v>0.09</v>
      </c>
      <c r="AE34" s="1167">
        <v>0.04</v>
      </c>
      <c r="AF34" s="1167">
        <v>0.04</v>
      </c>
      <c r="AG34" s="1167" t="s">
        <v>2156</v>
      </c>
      <c r="AH34" s="1167" t="s">
        <v>2154</v>
      </c>
      <c r="AI34" s="1167" t="s">
        <v>2155</v>
      </c>
    </row>
    <row r="35" spans="1:46" s="77" customFormat="1" ht="10.5" customHeight="1">
      <c r="A35" s="482" t="s">
        <v>21</v>
      </c>
      <c r="B35" s="1168" t="s">
        <v>6780</v>
      </c>
      <c r="C35" s="1169"/>
      <c r="D35" s="1170"/>
      <c r="E35" s="1170"/>
      <c r="F35" s="1170"/>
      <c r="G35" s="1171">
        <v>0</v>
      </c>
      <c r="H35" s="1172">
        <v>0</v>
      </c>
      <c r="I35" s="2940">
        <v>0</v>
      </c>
      <c r="J35" s="1371">
        <v>0</v>
      </c>
      <c r="K35" s="1371">
        <v>0</v>
      </c>
      <c r="L35" s="2941">
        <v>0</v>
      </c>
      <c r="Q35" s="93"/>
      <c r="R35" s="482" t="s">
        <v>21</v>
      </c>
      <c r="S35" s="1168" t="s">
        <v>6780</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31</v>
      </c>
      <c r="B36" s="1168" t="s">
        <v>6781</v>
      </c>
      <c r="C36" s="1169"/>
      <c r="D36" s="1170"/>
      <c r="E36" s="1170"/>
      <c r="F36" s="1170"/>
      <c r="G36" s="1171">
        <v>10</v>
      </c>
      <c r="H36" s="1172">
        <v>10</v>
      </c>
      <c r="I36" s="1171">
        <v>10</v>
      </c>
      <c r="J36" s="1372">
        <v>10</v>
      </c>
      <c r="K36" s="1237">
        <v>10</v>
      </c>
      <c r="L36" s="1177">
        <v>10</v>
      </c>
      <c r="Q36" s="93"/>
      <c r="R36" s="482" t="s">
        <v>31</v>
      </c>
      <c r="S36" s="1168" t="s">
        <v>6781</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43</v>
      </c>
      <c r="B37" s="1173" t="s">
        <v>2038</v>
      </c>
      <c r="C37" s="1174"/>
      <c r="D37" s="1175"/>
      <c r="E37" s="1175"/>
      <c r="F37" s="1175"/>
      <c r="G37" s="1176">
        <v>3</v>
      </c>
      <c r="H37" s="1177">
        <v>3</v>
      </c>
      <c r="I37" s="1176"/>
      <c r="J37" s="1237"/>
      <c r="K37" s="1237"/>
      <c r="L37" s="1177"/>
      <c r="M37" s="163" t="s">
        <v>2027</v>
      </c>
      <c r="N37" s="93"/>
      <c r="O37" s="93"/>
      <c r="P37" s="2945" t="e">
        <f>IF(OR($M$34="9% Credit Competitive Round only", $M$34="9% Credit &amp; HOME"),"9%",IF(OR($M$34="4% Credit/TE Bond", $M$34="4% Credit/TE Bond &amp; HOME", $M$34="4% Credit/TE Bond &amp; HOME NOFA", $M$34="4% Credit &amp; NHTF", $M$34="4% Credit &amp; NHTF &amp; HOME"),"4%",""))</f>
        <v>#REF!</v>
      </c>
      <c r="Q37" s="93"/>
      <c r="R37" s="482" t="s">
        <v>43</v>
      </c>
      <c r="S37" s="1173" t="s">
        <v>2038</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57</v>
      </c>
      <c r="B38" s="1173" t="s">
        <v>1980</v>
      </c>
      <c r="C38" s="1174"/>
      <c r="D38" s="1175"/>
      <c r="E38" s="1175"/>
      <c r="F38" s="1175"/>
      <c r="G38" s="1176">
        <v>20</v>
      </c>
      <c r="H38" s="1177">
        <v>12</v>
      </c>
      <c r="I38" s="1176"/>
      <c r="J38" s="1237"/>
      <c r="K38" s="1237"/>
      <c r="L38" s="1177"/>
      <c r="Q38" s="93"/>
      <c r="R38" s="482" t="s">
        <v>57</v>
      </c>
      <c r="S38" s="1173" t="s">
        <v>1980</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66</v>
      </c>
      <c r="B39" s="1173" t="s">
        <v>1981</v>
      </c>
      <c r="C39" s="1174"/>
      <c r="D39" s="1175"/>
      <c r="E39" s="1175"/>
      <c r="F39" s="1175"/>
      <c r="G39" s="1176">
        <v>6</v>
      </c>
      <c r="H39" s="1177">
        <v>4</v>
      </c>
      <c r="I39" s="1176"/>
      <c r="J39" s="1237"/>
      <c r="K39" s="1237"/>
      <c r="L39" s="1177"/>
      <c r="Q39" s="93"/>
      <c r="R39" s="482" t="s">
        <v>66</v>
      </c>
      <c r="S39" s="1173" t="s">
        <v>1981</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68</v>
      </c>
      <c r="B40" s="1173" t="s">
        <v>1982</v>
      </c>
      <c r="C40" s="1174"/>
      <c r="D40" s="1175"/>
      <c r="E40" s="1175"/>
      <c r="F40" s="1175"/>
      <c r="G40" s="1176">
        <v>3</v>
      </c>
      <c r="H40" s="1177">
        <v>2</v>
      </c>
      <c r="I40" s="1176"/>
      <c r="J40" s="1237"/>
      <c r="K40" s="1237"/>
      <c r="L40" s="1177"/>
      <c r="M40" s="4594" t="s">
        <v>2034</v>
      </c>
      <c r="N40" s="4595"/>
      <c r="O40" s="4595"/>
      <c r="P40" s="4595"/>
      <c r="Q40" s="93"/>
      <c r="R40" s="482" t="s">
        <v>68</v>
      </c>
      <c r="S40" s="1173" t="s">
        <v>1982</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1481</v>
      </c>
      <c r="B41" s="1173" t="s">
        <v>1924</v>
      </c>
      <c r="C41" s="1174"/>
      <c r="D41" s="1175"/>
      <c r="E41" s="1175"/>
      <c r="F41" s="1175"/>
      <c r="G41" s="1176">
        <v>7</v>
      </c>
      <c r="H41" s="1177">
        <v>5</v>
      </c>
      <c r="I41" s="1176"/>
      <c r="J41" s="1237"/>
      <c r="K41" s="1237"/>
      <c r="L41" s="1177"/>
      <c r="M41" s="4594"/>
      <c r="N41" s="4595"/>
      <c r="O41" s="4595"/>
      <c r="P41" s="4595"/>
      <c r="Q41" s="93"/>
      <c r="R41" s="482" t="s">
        <v>1481</v>
      </c>
      <c r="S41" s="1173" t="s">
        <v>1924</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1485</v>
      </c>
      <c r="B42" s="1173" t="s">
        <v>1898</v>
      </c>
      <c r="C42" s="1174"/>
      <c r="D42" s="1175"/>
      <c r="E42" s="1175"/>
      <c r="F42" s="1175"/>
      <c r="G42" s="1176">
        <v>3</v>
      </c>
      <c r="H42" s="1177"/>
      <c r="I42" s="1176"/>
      <c r="J42" s="1237"/>
      <c r="K42" s="1237"/>
      <c r="L42" s="1177"/>
      <c r="M42" s="98" t="s">
        <v>2039</v>
      </c>
      <c r="N42" s="98"/>
      <c r="O42" s="98"/>
      <c r="P42" s="2653"/>
      <c r="Q42" s="93"/>
      <c r="R42" s="482" t="s">
        <v>1485</v>
      </c>
      <c r="S42" s="1173" t="s">
        <v>1898</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1487</v>
      </c>
      <c r="B43" s="1173" t="s">
        <v>1925</v>
      </c>
      <c r="C43" s="1174"/>
      <c r="D43" s="1175"/>
      <c r="E43" s="1175"/>
      <c r="F43" s="1175"/>
      <c r="G43" s="1176">
        <v>10</v>
      </c>
      <c r="H43" s="1177">
        <v>5</v>
      </c>
      <c r="I43" s="1176"/>
      <c r="J43" s="1237"/>
      <c r="K43" s="1237"/>
      <c r="L43" s="1177"/>
      <c r="M43" s="98" t="s">
        <v>2043</v>
      </c>
      <c r="N43" s="98"/>
      <c r="O43" s="98"/>
      <c r="P43" s="602"/>
      <c r="Q43" s="93"/>
      <c r="R43" s="482" t="s">
        <v>1487</v>
      </c>
      <c r="S43" s="1173" t="s">
        <v>1925</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1489</v>
      </c>
      <c r="B44" s="1173" t="s">
        <v>2084</v>
      </c>
      <c r="C44" s="1174"/>
      <c r="D44" s="1175"/>
      <c r="E44" s="1175"/>
      <c r="F44" s="1175"/>
      <c r="G44" s="1176">
        <v>1</v>
      </c>
      <c r="H44" s="1177"/>
      <c r="I44" s="1176"/>
      <c r="J44" s="1237"/>
      <c r="K44" s="1237"/>
      <c r="L44" s="1177"/>
      <c r="M44" s="1248" t="s">
        <v>2048</v>
      </c>
      <c r="N44" s="135"/>
      <c r="O44" s="135"/>
      <c r="P44" s="601"/>
      <c r="Q44" s="93"/>
      <c r="R44" s="482" t="s">
        <v>1489</v>
      </c>
      <c r="S44" s="1173" t="s">
        <v>2084</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1495</v>
      </c>
      <c r="B45" s="1173" t="s">
        <v>1985</v>
      </c>
      <c r="C45" s="1174"/>
      <c r="D45" s="1175"/>
      <c r="E45" s="1175"/>
      <c r="F45" s="1175"/>
      <c r="G45" s="1176">
        <v>10</v>
      </c>
      <c r="H45" s="1177">
        <v>5</v>
      </c>
      <c r="I45" s="1176"/>
      <c r="J45" s="1237"/>
      <c r="K45" s="1237"/>
      <c r="L45" s="1177"/>
      <c r="M45" s="1248" t="s">
        <v>2051</v>
      </c>
      <c r="N45" s="135"/>
      <c r="O45" s="150" t="s">
        <v>2056</v>
      </c>
      <c r="P45" s="2946" t="str">
        <f>IF('Part VII-Threshold Criteria OLD'!$P$341="Agree","Yes","")</f>
        <v/>
      </c>
      <c r="Q45" s="93"/>
      <c r="R45" s="482" t="s">
        <v>1495</v>
      </c>
      <c r="S45" s="1173" t="s">
        <v>1985</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1500</v>
      </c>
      <c r="B46" s="1173" t="s">
        <v>2070</v>
      </c>
      <c r="C46" s="1174"/>
      <c r="D46" s="1175"/>
      <c r="E46" s="1175"/>
      <c r="F46" s="1175"/>
      <c r="G46" s="1176">
        <v>3</v>
      </c>
      <c r="H46" s="1177"/>
      <c r="I46" s="1176"/>
      <c r="J46" s="1237"/>
      <c r="K46" s="1237"/>
      <c r="L46" s="1177"/>
      <c r="M46" s="1248"/>
      <c r="N46" s="135"/>
      <c r="O46" s="150" t="s">
        <v>2060</v>
      </c>
      <c r="P46" s="1309" t="str">
        <f>IF('Part VII-Threshold Criteria OLD'!$P$344="Agree","Yes","")</f>
        <v/>
      </c>
      <c r="Q46" s="93"/>
      <c r="R46" s="482" t="s">
        <v>1500</v>
      </c>
      <c r="S46" s="1173" t="s">
        <v>2070</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1522</v>
      </c>
      <c r="B47" s="1173" t="s">
        <v>2074</v>
      </c>
      <c r="C47" s="1174"/>
      <c r="D47" s="1175"/>
      <c r="E47" s="1175"/>
      <c r="F47" s="1175"/>
      <c r="G47" s="1176">
        <v>5</v>
      </c>
      <c r="H47" s="1177"/>
      <c r="I47" s="1176"/>
      <c r="J47" s="1237"/>
      <c r="K47" s="1237"/>
      <c r="L47" s="1177"/>
      <c r="M47" s="875"/>
      <c r="N47" s="1269"/>
      <c r="O47" s="1249" t="s">
        <v>2064</v>
      </c>
      <c r="P47" s="1310" t="str">
        <f>IF('Part VII-Threshold Criteria OLD'!$P$346="Agree","Yes","")</f>
        <v/>
      </c>
      <c r="Q47" s="93"/>
      <c r="R47" s="482" t="s">
        <v>1522</v>
      </c>
      <c r="S47" s="1173" t="s">
        <v>2074</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1520</v>
      </c>
      <c r="B48" s="1173" t="s">
        <v>2024</v>
      </c>
      <c r="C48" s="1174"/>
      <c r="D48" s="1175"/>
      <c r="E48" s="1175"/>
      <c r="F48" s="1175"/>
      <c r="G48" s="1176">
        <v>4</v>
      </c>
      <c r="H48" s="1177">
        <v>4</v>
      </c>
      <c r="I48" s="1176">
        <v>4</v>
      </c>
      <c r="J48" s="1237">
        <v>4</v>
      </c>
      <c r="K48" s="1237">
        <v>4</v>
      </c>
      <c r="L48" s="1177">
        <v>4</v>
      </c>
      <c r="M48" s="1263" t="s">
        <v>2067</v>
      </c>
      <c r="N48" s="1264"/>
      <c r="O48" s="1265"/>
      <c r="P48" s="2653"/>
      <c r="R48" s="482" t="s">
        <v>1520</v>
      </c>
      <c r="S48" s="1173" t="s">
        <v>2024</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6611</v>
      </c>
    </row>
    <row r="49" spans="1:46" s="77" customFormat="1" ht="10.5" customHeight="1">
      <c r="A49" s="482" t="s">
        <v>1522</v>
      </c>
      <c r="B49" s="1173" t="s">
        <v>6773</v>
      </c>
      <c r="C49" s="1174"/>
      <c r="D49" s="1175"/>
      <c r="E49" s="1175"/>
      <c r="F49" s="1175"/>
      <c r="G49" s="1176">
        <v>2</v>
      </c>
      <c r="H49" s="1177">
        <v>2</v>
      </c>
      <c r="I49" s="1176">
        <v>2</v>
      </c>
      <c r="J49" s="1237">
        <v>2</v>
      </c>
      <c r="K49" s="1237">
        <v>2</v>
      </c>
      <c r="L49" s="1177">
        <v>2</v>
      </c>
      <c r="M49" s="1266" t="s">
        <v>2071</v>
      </c>
      <c r="N49" s="1267"/>
      <c r="O49" s="1268"/>
      <c r="P49" s="601"/>
      <c r="R49" s="482" t="s">
        <v>1522</v>
      </c>
      <c r="S49" s="1173" t="s">
        <v>6773</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6782</v>
      </c>
      <c r="AR49" s="135"/>
      <c r="AS49" s="43"/>
      <c r="AT49" s="2947" t="e">
        <f>#REF!+#REF!+#REF!</f>
        <v>#REF!</v>
      </c>
    </row>
    <row r="50" spans="1:46" s="77" customFormat="1" ht="10.5" customHeight="1">
      <c r="A50" s="482" t="s">
        <v>1528</v>
      </c>
      <c r="B50" s="1173" t="s">
        <v>2026</v>
      </c>
      <c r="C50" s="1174"/>
      <c r="D50" s="1175"/>
      <c r="E50" s="1175"/>
      <c r="F50" s="1175"/>
      <c r="G50" s="1176">
        <v>2</v>
      </c>
      <c r="H50" s="1177">
        <v>2</v>
      </c>
      <c r="I50" s="1176">
        <v>2</v>
      </c>
      <c r="J50" s="1237">
        <v>2</v>
      </c>
      <c r="K50" s="1237">
        <v>2</v>
      </c>
      <c r="L50" s="1177">
        <v>2</v>
      </c>
      <c r="M50" s="98" t="s">
        <v>2075</v>
      </c>
      <c r="N50" s="43"/>
      <c r="O50" s="43"/>
      <c r="P50" s="328" t="e">
        <f>#REF!</f>
        <v>#REF!</v>
      </c>
      <c r="R50" s="482" t="s">
        <v>1528</v>
      </c>
      <c r="S50" s="1173" t="s">
        <v>2026</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6783</v>
      </c>
      <c r="AR50" s="1030"/>
      <c r="AS50" s="1030"/>
      <c r="AT50" s="1308" t="e">
        <f>#REF!+#REF!-#REF!-#REF!</f>
        <v>#REF!</v>
      </c>
    </row>
    <row r="51" spans="1:46" s="77" customFormat="1" ht="10.5" customHeight="1">
      <c r="A51" s="482" t="s">
        <v>1548</v>
      </c>
      <c r="B51" s="1173" t="s">
        <v>2091</v>
      </c>
      <c r="C51" s="1174"/>
      <c r="D51" s="1175"/>
      <c r="E51" s="1175"/>
      <c r="F51" s="1175"/>
      <c r="G51" s="1176">
        <v>2</v>
      </c>
      <c r="H51" s="1177"/>
      <c r="I51" s="1176"/>
      <c r="J51" s="1237">
        <v>2</v>
      </c>
      <c r="K51" s="1237">
        <v>2</v>
      </c>
      <c r="L51" s="1177">
        <v>2</v>
      </c>
      <c r="Q51" s="93"/>
      <c r="R51" s="482" t="s">
        <v>1548</v>
      </c>
      <c r="S51" s="1173" t="s">
        <v>2091</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1557</v>
      </c>
      <c r="B52" s="1173" t="s">
        <v>6784</v>
      </c>
      <c r="C52" s="1174"/>
      <c r="D52" s="1175"/>
      <c r="E52" s="1175"/>
      <c r="F52" s="1175"/>
      <c r="G52" s="1176">
        <v>2</v>
      </c>
      <c r="H52" s="1177"/>
      <c r="I52" s="1176"/>
      <c r="J52" s="1237">
        <v>2</v>
      </c>
      <c r="K52" s="1237">
        <v>2</v>
      </c>
      <c r="L52" s="1177">
        <v>2</v>
      </c>
      <c r="M52" s="4598" t="s">
        <v>6785</v>
      </c>
      <c r="N52" s="4599"/>
      <c r="O52" s="4599"/>
      <c r="P52" s="4599"/>
      <c r="Q52" s="279"/>
      <c r="R52" s="482" t="s">
        <v>1557</v>
      </c>
      <c r="S52" s="1173" t="s">
        <v>6784</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1565</v>
      </c>
      <c r="B53" s="1173" t="s">
        <v>2095</v>
      </c>
      <c r="C53" s="1174"/>
      <c r="D53" s="1175"/>
      <c r="E53" s="1175"/>
      <c r="F53" s="1175"/>
      <c r="G53" s="1176">
        <v>2</v>
      </c>
      <c r="H53" s="1177"/>
      <c r="I53" s="1176"/>
      <c r="J53" s="1237">
        <v>2</v>
      </c>
      <c r="K53" s="1237">
        <v>2</v>
      </c>
      <c r="L53" s="1177">
        <v>2</v>
      </c>
      <c r="M53" s="4598"/>
      <c r="N53" s="4599"/>
      <c r="O53" s="4599"/>
      <c r="P53" s="4599"/>
      <c r="R53" s="482" t="s">
        <v>1565</v>
      </c>
      <c r="S53" s="1173" t="s">
        <v>2095</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1577</v>
      </c>
      <c r="B54" s="1173" t="s">
        <v>2028</v>
      </c>
      <c r="C54" s="1174"/>
      <c r="D54" s="1175"/>
      <c r="E54" s="1175"/>
      <c r="F54" s="1175"/>
      <c r="G54" s="1176">
        <v>4</v>
      </c>
      <c r="H54" s="1177">
        <v>2</v>
      </c>
      <c r="I54" s="1176">
        <v>2</v>
      </c>
      <c r="J54" s="1237">
        <v>4</v>
      </c>
      <c r="K54" s="1237">
        <v>4</v>
      </c>
      <c r="L54" s="1177">
        <v>4</v>
      </c>
      <c r="M54" s="4600"/>
      <c r="N54" s="4601"/>
      <c r="O54" s="4601"/>
      <c r="P54" s="4601"/>
      <c r="R54" s="482" t="s">
        <v>1577</v>
      </c>
      <c r="S54" s="1173" t="s">
        <v>2028</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1582</v>
      </c>
      <c r="B55" s="1173" t="s">
        <v>2087</v>
      </c>
      <c r="C55" s="1174"/>
      <c r="D55" s="1175"/>
      <c r="E55" s="1175"/>
      <c r="F55" s="1175"/>
      <c r="G55" s="1176">
        <v>2</v>
      </c>
      <c r="H55" s="1177"/>
      <c r="I55" s="1176"/>
      <c r="J55" s="1237"/>
      <c r="K55" s="1237"/>
      <c r="L55" s="1177"/>
      <c r="M55" s="4803" t="s">
        <v>1732</v>
      </c>
      <c r="N55" s="4804"/>
      <c r="O55" s="4804"/>
      <c r="P55" s="4805"/>
      <c r="R55" s="482" t="s">
        <v>1582</v>
      </c>
      <c r="S55" s="1173" t="s">
        <v>2087</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1587</v>
      </c>
      <c r="B56" s="1173" t="s">
        <v>2031</v>
      </c>
      <c r="C56" s="1174"/>
      <c r="D56" s="1175"/>
      <c r="E56" s="1175"/>
      <c r="F56" s="1175"/>
      <c r="G56" s="1176">
        <v>10</v>
      </c>
      <c r="H56" s="1177">
        <v>10</v>
      </c>
      <c r="I56" s="1176">
        <v>10</v>
      </c>
      <c r="J56" s="1237">
        <v>10</v>
      </c>
      <c r="K56" s="1237">
        <v>10</v>
      </c>
      <c r="L56" s="1177">
        <v>10</v>
      </c>
      <c r="M56" s="4806"/>
      <c r="N56" s="4807"/>
      <c r="O56" s="4807"/>
      <c r="P56" s="4808"/>
      <c r="R56" s="482" t="s">
        <v>1587</v>
      </c>
      <c r="S56" s="1173" t="s">
        <v>2031</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1593</v>
      </c>
      <c r="B57" s="1173" t="s">
        <v>2033</v>
      </c>
      <c r="C57" s="1174"/>
      <c r="D57" s="1175"/>
      <c r="E57" s="1175"/>
      <c r="F57" s="1175"/>
      <c r="G57" s="1176">
        <v>3</v>
      </c>
      <c r="H57" s="1177">
        <v>3</v>
      </c>
      <c r="I57" s="1176">
        <v>3</v>
      </c>
      <c r="J57" s="1237">
        <v>3</v>
      </c>
      <c r="K57" s="1237">
        <v>3</v>
      </c>
      <c r="L57" s="1177">
        <v>3</v>
      </c>
      <c r="R57" s="482" t="s">
        <v>1593</v>
      </c>
      <c r="S57" s="1173" t="s">
        <v>2033</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1597</v>
      </c>
      <c r="B58" s="1173" t="s">
        <v>1970</v>
      </c>
      <c r="C58" s="1174"/>
      <c r="D58" s="1175"/>
      <c r="E58" s="1175"/>
      <c r="F58" s="1175"/>
      <c r="G58" s="1176"/>
      <c r="H58" s="1177"/>
      <c r="I58" s="1176">
        <v>6</v>
      </c>
      <c r="J58" s="1237">
        <v>6</v>
      </c>
      <c r="K58" s="1237">
        <v>6</v>
      </c>
      <c r="L58" s="1177">
        <v>6</v>
      </c>
      <c r="M58" s="4594" t="s">
        <v>1733</v>
      </c>
      <c r="N58" s="4595"/>
      <c r="O58" s="4595"/>
      <c r="P58" s="4595"/>
      <c r="Q58" s="93"/>
      <c r="R58" s="482" t="s">
        <v>1597</v>
      </c>
      <c r="S58" s="1173" t="s">
        <v>1970</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1603</v>
      </c>
      <c r="B59" s="1173" t="s">
        <v>6786</v>
      </c>
      <c r="C59" s="1174"/>
      <c r="D59" s="1175"/>
      <c r="E59" s="1175"/>
      <c r="F59" s="1175"/>
      <c r="G59" s="1176"/>
      <c r="H59" s="1177"/>
      <c r="I59" s="1176">
        <v>6</v>
      </c>
      <c r="J59" s="1237">
        <v>6</v>
      </c>
      <c r="K59" s="1237">
        <v>6</v>
      </c>
      <c r="L59" s="1177">
        <v>6</v>
      </c>
      <c r="M59" s="4596"/>
      <c r="N59" s="4597"/>
      <c r="O59" s="4597"/>
      <c r="P59" s="4597"/>
      <c r="Q59" s="93"/>
      <c r="R59" s="482" t="s">
        <v>1603</v>
      </c>
      <c r="S59" s="1173" t="s">
        <v>6786</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1606</v>
      </c>
      <c r="B60" s="1173" t="s">
        <v>6777</v>
      </c>
      <c r="C60" s="1174"/>
      <c r="D60" s="1175"/>
      <c r="E60" s="1175"/>
      <c r="F60" s="1175"/>
      <c r="G60" s="1176"/>
      <c r="H60" s="1177"/>
      <c r="I60" s="1176">
        <v>4</v>
      </c>
      <c r="J60" s="1237">
        <v>4</v>
      </c>
      <c r="K60" s="1237">
        <v>4</v>
      </c>
      <c r="L60" s="1177">
        <v>4</v>
      </c>
      <c r="M60" s="4880" t="s">
        <v>1734</v>
      </c>
      <c r="N60" s="4881"/>
      <c r="O60" s="4881"/>
      <c r="P60" s="4882"/>
      <c r="R60" s="482" t="s">
        <v>1606</v>
      </c>
      <c r="S60" s="1173" t="s">
        <v>6777</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1610</v>
      </c>
      <c r="B61" s="1178" t="s">
        <v>6778</v>
      </c>
      <c r="C61" s="1179"/>
      <c r="D61" s="1180"/>
      <c r="E61" s="1180"/>
      <c r="F61" s="1180"/>
      <c r="G61" s="1181"/>
      <c r="H61" s="1182"/>
      <c r="I61" s="1181">
        <v>6</v>
      </c>
      <c r="J61" s="1373">
        <v>4</v>
      </c>
      <c r="K61" s="1373">
        <v>6</v>
      </c>
      <c r="L61" s="1182">
        <v>4</v>
      </c>
      <c r="M61" s="4883"/>
      <c r="N61" s="4884"/>
      <c r="O61" s="4884"/>
      <c r="P61" s="4885"/>
      <c r="Q61" s="93"/>
      <c r="R61" s="482" t="s">
        <v>1610</v>
      </c>
      <c r="S61" s="1178" t="s">
        <v>6778</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2105</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31</v>
      </c>
      <c r="B64" s="50" t="s">
        <v>6787</v>
      </c>
      <c r="C64" s="3"/>
      <c r="D64" s="3"/>
      <c r="E64" s="3"/>
      <c r="F64" s="13"/>
      <c r="G64" s="13"/>
      <c r="H64" s="98" t="s">
        <v>6788</v>
      </c>
      <c r="I64" s="43"/>
      <c r="J64" s="43"/>
      <c r="K64" s="43"/>
      <c r="L64" s="43"/>
      <c r="M64" s="2542">
        <v>10</v>
      </c>
      <c r="N64" s="51"/>
      <c r="O64" s="630">
        <v>10</v>
      </c>
      <c r="P64" s="630">
        <f>MIN($M64, $M64-P67-P72-P68)</f>
        <v>10</v>
      </c>
      <c r="Q64" s="53" t="s">
        <v>1744</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185</v>
      </c>
      <c r="B66" s="92" t="s">
        <v>6789</v>
      </c>
      <c r="C66" s="43"/>
      <c r="D66" s="48"/>
      <c r="E66" s="48"/>
      <c r="F66" s="2596"/>
      <c r="G66" s="43"/>
      <c r="H66" s="43"/>
      <c r="I66" s="43"/>
      <c r="J66" s="43"/>
      <c r="K66" s="43"/>
      <c r="L66" s="43"/>
      <c r="M66" s="43"/>
      <c r="N66" s="28" t="s">
        <v>185</v>
      </c>
      <c r="O66" s="43"/>
      <c r="P66" s="2948">
        <f>SUM(P67:P69)</f>
        <v>0</v>
      </c>
      <c r="Q66" s="13" t="s">
        <v>6790</v>
      </c>
      <c r="R66" s="43"/>
      <c r="S66" s="43"/>
      <c r="T66" s="43"/>
    </row>
    <row r="67" spans="1:20" s="19" customFormat="1" ht="12.75" customHeight="1">
      <c r="A67" s="72"/>
      <c r="B67" s="1076" t="s">
        <v>200</v>
      </c>
      <c r="C67" s="48" t="s">
        <v>6791</v>
      </c>
      <c r="D67" s="48"/>
      <c r="E67" s="48"/>
      <c r="F67" s="2596"/>
      <c r="H67" s="98" t="s">
        <v>6792</v>
      </c>
      <c r="J67" s="23"/>
      <c r="N67" s="217" t="s">
        <v>200</v>
      </c>
      <c r="P67" s="2949">
        <f>F75</f>
        <v>0</v>
      </c>
    </row>
    <row r="68" spans="1:20" s="19" customFormat="1" ht="12.75" customHeight="1">
      <c r="A68" s="72"/>
      <c r="B68" s="1076" t="s">
        <v>208</v>
      </c>
      <c r="C68" s="48" t="s">
        <v>6793</v>
      </c>
      <c r="D68" s="48"/>
      <c r="E68" s="48"/>
      <c r="F68" s="2596"/>
      <c r="H68" s="98" t="s">
        <v>6794</v>
      </c>
      <c r="J68" s="23"/>
      <c r="N68" s="217" t="s">
        <v>208</v>
      </c>
      <c r="P68" s="809">
        <f>J75</f>
        <v>0</v>
      </c>
    </row>
    <row r="69" spans="1:20" s="19" customFormat="1" ht="12.75" customHeight="1">
      <c r="A69" s="72"/>
      <c r="B69" s="1076" t="s">
        <v>212</v>
      </c>
      <c r="C69" s="48" t="s">
        <v>6795</v>
      </c>
      <c r="D69" s="48"/>
      <c r="E69" s="48"/>
      <c r="F69" s="2596"/>
      <c r="H69" s="98" t="s">
        <v>6796</v>
      </c>
      <c r="J69" s="23"/>
      <c r="N69" s="217" t="s">
        <v>212</v>
      </c>
      <c r="P69" s="810"/>
    </row>
    <row r="70" spans="1:20" s="19" customFormat="1" ht="12.75" customHeight="1">
      <c r="C70" s="4632" t="s">
        <v>6797</v>
      </c>
      <c r="D70" s="4633"/>
      <c r="E70" s="4633"/>
      <c r="F70" s="4633"/>
      <c r="G70" s="4633"/>
      <c r="H70" s="4633"/>
      <c r="I70" s="4633"/>
      <c r="J70" s="4633"/>
      <c r="K70" s="4633"/>
      <c r="L70" s="4633"/>
      <c r="M70" s="4633"/>
      <c r="N70" s="4633"/>
      <c r="O70" s="4633"/>
      <c r="P70" s="4634"/>
      <c r="Q70" s="249"/>
      <c r="R70" s="249"/>
    </row>
    <row r="71" spans="1:20" s="19" customFormat="1" ht="3" customHeight="1">
      <c r="A71" s="328"/>
      <c r="B71" s="325"/>
      <c r="C71" s="326"/>
      <c r="D71" s="73"/>
      <c r="K71" s="502"/>
      <c r="L71" s="502"/>
      <c r="M71" s="2525"/>
      <c r="N71" s="217"/>
      <c r="O71" s="504"/>
      <c r="P71" s="504"/>
    </row>
    <row r="72" spans="1:20" s="18" customFormat="1" ht="12.75" customHeight="1">
      <c r="A72" s="72" t="s">
        <v>197</v>
      </c>
      <c r="B72" s="92" t="s">
        <v>6798</v>
      </c>
      <c r="C72" s="43"/>
      <c r="D72" s="48"/>
      <c r="E72" s="48"/>
      <c r="F72" s="2596"/>
      <c r="G72" s="43"/>
      <c r="H72" s="98" t="s">
        <v>6799</v>
      </c>
      <c r="I72" s="43"/>
      <c r="J72" s="23"/>
      <c r="K72" s="43"/>
      <c r="L72" s="43"/>
      <c r="M72" s="32"/>
      <c r="N72" s="28" t="s">
        <v>197</v>
      </c>
      <c r="O72" s="43"/>
      <c r="P72" s="2950">
        <f>O75</f>
        <v>0</v>
      </c>
      <c r="Q72" s="13" t="s">
        <v>6790</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59" t="s">
        <v>6800</v>
      </c>
      <c r="B74" s="4559"/>
      <c r="C74" s="4559"/>
      <c r="D74" s="4559"/>
      <c r="E74" s="4559"/>
      <c r="F74" s="2871" t="s">
        <v>6801</v>
      </c>
      <c r="G74" s="4781" t="s">
        <v>6802</v>
      </c>
      <c r="H74" s="4781"/>
      <c r="I74" s="4781"/>
      <c r="J74" s="2871" t="s">
        <v>6801</v>
      </c>
      <c r="K74" s="4785" t="s">
        <v>6803</v>
      </c>
      <c r="L74" s="4785"/>
      <c r="M74" s="4785"/>
      <c r="N74" s="4785"/>
      <c r="O74" s="4779" t="s">
        <v>6801</v>
      </c>
      <c r="P74" s="4780"/>
      <c r="Q74" s="43"/>
      <c r="R74" s="250"/>
      <c r="S74" s="82"/>
      <c r="T74" s="43"/>
    </row>
    <row r="75" spans="1:20" s="18" customFormat="1" ht="12.75" customHeight="1">
      <c r="A75" s="4778"/>
      <c r="B75" s="4778"/>
      <c r="C75" s="4778"/>
      <c r="D75" s="4778"/>
      <c r="E75" s="4778"/>
      <c r="F75" s="2951">
        <f>SUM(F76:F87)</f>
        <v>0</v>
      </c>
      <c r="G75" s="4782"/>
      <c r="H75" s="4783"/>
      <c r="I75" s="4784"/>
      <c r="J75" s="2951">
        <f>SUM(J76:J87)</f>
        <v>0</v>
      </c>
      <c r="K75" s="4786"/>
      <c r="L75" s="4787"/>
      <c r="M75" s="4787"/>
      <c r="N75" s="4788"/>
      <c r="O75" s="4769">
        <f>SUM(O76:O87)</f>
        <v>0</v>
      </c>
      <c r="P75" s="4770"/>
      <c r="Q75" s="250"/>
      <c r="R75" s="82"/>
      <c r="S75" s="43"/>
      <c r="T75" s="43"/>
    </row>
    <row r="76" spans="1:20" s="18" customFormat="1" ht="24.75" customHeight="1">
      <c r="A76" s="4771">
        <v>1</v>
      </c>
      <c r="B76" s="4772"/>
      <c r="C76" s="4772"/>
      <c r="D76" s="4772"/>
      <c r="E76" s="4773"/>
      <c r="F76" s="2952"/>
      <c r="G76" s="4771">
        <v>1</v>
      </c>
      <c r="H76" s="4772"/>
      <c r="I76" s="4773"/>
      <c r="J76" s="2953" t="s">
        <v>2062</v>
      </c>
      <c r="K76" s="4774">
        <v>1</v>
      </c>
      <c r="L76" s="4775"/>
      <c r="M76" s="4775"/>
      <c r="N76" s="4775"/>
      <c r="O76" s="4776" t="s">
        <v>2062</v>
      </c>
      <c r="P76" s="4777"/>
      <c r="Q76" s="248" t="s">
        <v>6410</v>
      </c>
      <c r="R76" s="82"/>
      <c r="S76" s="43"/>
      <c r="T76" s="43"/>
    </row>
    <row r="77" spans="1:20" s="18" customFormat="1" ht="24.75" customHeight="1">
      <c r="A77" s="4625">
        <v>2</v>
      </c>
      <c r="B77" s="4626"/>
      <c r="C77" s="4626"/>
      <c r="D77" s="4626"/>
      <c r="E77" s="4627"/>
      <c r="F77" s="496"/>
      <c r="G77" s="4625">
        <v>2</v>
      </c>
      <c r="H77" s="4626"/>
      <c r="I77" s="4627"/>
      <c r="J77" s="496"/>
      <c r="K77" s="4628">
        <v>2</v>
      </c>
      <c r="L77" s="4629"/>
      <c r="M77" s="4629"/>
      <c r="N77" s="4629"/>
      <c r="O77" s="4630"/>
      <c r="P77" s="4631"/>
      <c r="Q77" s="249"/>
      <c r="R77" s="82"/>
      <c r="S77" s="43"/>
      <c r="T77" s="43"/>
    </row>
    <row r="78" spans="1:20" s="18" customFormat="1" ht="24.75" customHeight="1">
      <c r="A78" s="4625">
        <v>3</v>
      </c>
      <c r="B78" s="4626"/>
      <c r="C78" s="4626"/>
      <c r="D78" s="4626"/>
      <c r="E78" s="4627"/>
      <c r="F78" s="496"/>
      <c r="G78" s="4625">
        <v>3</v>
      </c>
      <c r="H78" s="4626"/>
      <c r="I78" s="4627"/>
      <c r="J78" s="669" t="s">
        <v>6804</v>
      </c>
      <c r="K78" s="4628">
        <v>3</v>
      </c>
      <c r="L78" s="4629"/>
      <c r="M78" s="4629"/>
      <c r="N78" s="4629"/>
      <c r="O78" s="4604" t="s">
        <v>6804</v>
      </c>
      <c r="P78" s="4605"/>
      <c r="Q78" s="4602" t="s">
        <v>6805</v>
      </c>
      <c r="R78" s="4603"/>
      <c r="S78" s="811"/>
      <c r="T78" s="811"/>
    </row>
    <row r="79" spans="1:20" s="18" customFormat="1" ht="24.75" customHeight="1">
      <c r="A79" s="4625">
        <v>4</v>
      </c>
      <c r="B79" s="4626"/>
      <c r="C79" s="4626"/>
      <c r="D79" s="4626"/>
      <c r="E79" s="4627"/>
      <c r="F79" s="496"/>
      <c r="G79" s="4625">
        <v>4</v>
      </c>
      <c r="H79" s="4626"/>
      <c r="I79" s="4627"/>
      <c r="J79" s="496"/>
      <c r="K79" s="4628">
        <v>4</v>
      </c>
      <c r="L79" s="4629"/>
      <c r="M79" s="4629"/>
      <c r="N79" s="4629"/>
      <c r="O79" s="4604" t="s">
        <v>6804</v>
      </c>
      <c r="P79" s="4605"/>
      <c r="Q79" s="4602"/>
      <c r="R79" s="4603"/>
      <c r="S79" s="811"/>
      <c r="T79" s="811"/>
    </row>
    <row r="80" spans="1:20" s="18" customFormat="1" ht="24.75" customHeight="1">
      <c r="A80" s="4625">
        <v>5</v>
      </c>
      <c r="B80" s="4626"/>
      <c r="C80" s="4626"/>
      <c r="D80" s="4626"/>
      <c r="E80" s="4627"/>
      <c r="F80" s="496"/>
      <c r="G80" s="4625">
        <v>5</v>
      </c>
      <c r="H80" s="4626"/>
      <c r="I80" s="4627"/>
      <c r="J80" s="669" t="s">
        <v>6806</v>
      </c>
      <c r="K80" s="4628">
        <v>5</v>
      </c>
      <c r="L80" s="4629"/>
      <c r="M80" s="4629"/>
      <c r="N80" s="4629"/>
      <c r="O80" s="4630"/>
      <c r="P80" s="4631"/>
      <c r="Q80" s="4602"/>
      <c r="R80" s="4603"/>
      <c r="S80" s="811"/>
      <c r="T80" s="811"/>
    </row>
    <row r="81" spans="1:19" s="18" customFormat="1" ht="24" customHeight="1">
      <c r="A81" s="4625">
        <v>6</v>
      </c>
      <c r="B81" s="4626"/>
      <c r="C81" s="4626"/>
      <c r="D81" s="4626"/>
      <c r="E81" s="4627"/>
      <c r="F81" s="496"/>
      <c r="G81" s="4625">
        <v>6</v>
      </c>
      <c r="H81" s="4626"/>
      <c r="I81" s="4627"/>
      <c r="J81" s="496"/>
      <c r="K81" s="4628">
        <v>6</v>
      </c>
      <c r="L81" s="4629"/>
      <c r="M81" s="4629"/>
      <c r="N81" s="4629"/>
      <c r="O81" s="4630"/>
      <c r="P81" s="4631"/>
      <c r="Q81" s="4602"/>
      <c r="R81" s="4603"/>
      <c r="S81" s="43"/>
    </row>
    <row r="82" spans="1:19" s="18" customFormat="1" ht="24.75" customHeight="1">
      <c r="A82" s="4625">
        <v>7</v>
      </c>
      <c r="B82" s="4626"/>
      <c r="C82" s="4626"/>
      <c r="D82" s="4626"/>
      <c r="E82" s="4627"/>
      <c r="F82" s="496"/>
      <c r="G82" s="4625">
        <v>7</v>
      </c>
      <c r="H82" s="4626"/>
      <c r="I82" s="4627"/>
      <c r="J82" s="669" t="s">
        <v>6807</v>
      </c>
      <c r="K82" s="4628">
        <v>7</v>
      </c>
      <c r="L82" s="4629"/>
      <c r="M82" s="4629"/>
      <c r="N82" s="4629"/>
      <c r="O82" s="4630"/>
      <c r="P82" s="4631"/>
      <c r="Q82" s="82"/>
      <c r="R82" s="82"/>
      <c r="S82" s="43"/>
    </row>
    <row r="83" spans="1:19" s="18" customFormat="1" ht="24.75" customHeight="1">
      <c r="A83" s="4625">
        <v>8</v>
      </c>
      <c r="B83" s="4626"/>
      <c r="C83" s="4626"/>
      <c r="D83" s="4626"/>
      <c r="E83" s="4627"/>
      <c r="F83" s="496"/>
      <c r="G83" s="4625">
        <v>8</v>
      </c>
      <c r="H83" s="4626"/>
      <c r="I83" s="4627"/>
      <c r="J83" s="496"/>
      <c r="K83" s="4628">
        <v>8</v>
      </c>
      <c r="L83" s="4629"/>
      <c r="M83" s="4629"/>
      <c r="N83" s="4629"/>
      <c r="O83" s="4630"/>
      <c r="P83" s="4631"/>
      <c r="Q83" s="82"/>
      <c r="R83" s="82"/>
      <c r="S83" s="43"/>
    </row>
    <row r="84" spans="1:19" s="18" customFormat="1" ht="24.75" customHeight="1">
      <c r="A84" s="4625">
        <v>9</v>
      </c>
      <c r="B84" s="4626"/>
      <c r="C84" s="4626"/>
      <c r="D84" s="4626"/>
      <c r="E84" s="4627"/>
      <c r="F84" s="496"/>
      <c r="G84" s="4625">
        <v>9</v>
      </c>
      <c r="H84" s="4626"/>
      <c r="I84" s="4627"/>
      <c r="J84" s="669" t="s">
        <v>6808</v>
      </c>
      <c r="K84" s="4628">
        <v>9</v>
      </c>
      <c r="L84" s="4629"/>
      <c r="M84" s="4629"/>
      <c r="N84" s="4629"/>
      <c r="O84" s="4630"/>
      <c r="P84" s="4631"/>
      <c r="Q84" s="82"/>
      <c r="R84" s="82"/>
      <c r="S84" s="43"/>
    </row>
    <row r="85" spans="1:19" s="18" customFormat="1" ht="24.75" customHeight="1">
      <c r="A85" s="4625">
        <v>10</v>
      </c>
      <c r="B85" s="4626"/>
      <c r="C85" s="4626"/>
      <c r="D85" s="4626"/>
      <c r="E85" s="4627"/>
      <c r="F85" s="496"/>
      <c r="G85" s="4625">
        <v>10</v>
      </c>
      <c r="H85" s="4626"/>
      <c r="I85" s="4627"/>
      <c r="J85" s="496"/>
      <c r="K85" s="4628">
        <v>10</v>
      </c>
      <c r="L85" s="4629"/>
      <c r="M85" s="4629"/>
      <c r="N85" s="4629"/>
      <c r="O85" s="4630"/>
      <c r="P85" s="4631"/>
      <c r="Q85" s="82"/>
      <c r="R85" s="43"/>
      <c r="S85" s="43"/>
    </row>
    <row r="86" spans="1:19" s="18" customFormat="1" ht="24.75" customHeight="1">
      <c r="A86" s="4625">
        <v>11</v>
      </c>
      <c r="B86" s="4626"/>
      <c r="C86" s="4626"/>
      <c r="D86" s="4626"/>
      <c r="E86" s="4627"/>
      <c r="F86" s="496"/>
      <c r="G86" s="4625">
        <v>11</v>
      </c>
      <c r="H86" s="4626"/>
      <c r="I86" s="4627"/>
      <c r="J86" s="669" t="s">
        <v>6809</v>
      </c>
      <c r="K86" s="4625">
        <v>11</v>
      </c>
      <c r="L86" s="4626"/>
      <c r="M86" s="4626"/>
      <c r="N86" s="4627"/>
      <c r="O86" s="4630"/>
      <c r="P86" s="4631"/>
      <c r="Q86" s="82"/>
      <c r="R86" s="82"/>
      <c r="S86" s="43"/>
    </row>
    <row r="87" spans="1:19" s="18" customFormat="1" ht="24.75" customHeight="1">
      <c r="A87" s="4853">
        <v>12</v>
      </c>
      <c r="B87" s="4854"/>
      <c r="C87" s="4854"/>
      <c r="D87" s="4854"/>
      <c r="E87" s="4855"/>
      <c r="F87" s="497"/>
      <c r="G87" s="4853">
        <v>12</v>
      </c>
      <c r="H87" s="4854"/>
      <c r="I87" s="4855"/>
      <c r="J87" s="497"/>
      <c r="K87" s="4853">
        <v>12</v>
      </c>
      <c r="L87" s="4854"/>
      <c r="M87" s="4854"/>
      <c r="N87" s="4855"/>
      <c r="O87" s="4856"/>
      <c r="P87" s="4857"/>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43</v>
      </c>
      <c r="B89" s="50" t="s">
        <v>1831</v>
      </c>
      <c r="E89" s="13"/>
      <c r="G89" s="38"/>
      <c r="I89" s="1033" t="s">
        <v>627</v>
      </c>
      <c r="J89" s="1077" t="e">
        <f>IF(OR($M$34="9% Credit Competitive Round only", $M$34="9% Credit &amp; HOME"),"9%",IF(OR($M$34="4% Credit/TE Bond", $M$34="4% Credit/TE Bond &amp; HOME", $M$34="4% Credit/TE Bond &amp; HOME NOFA", $M$34="4% Credit &amp; NHTF", $M$34="4% Credit &amp; NHTF &amp; HOME"),"4%",""))</f>
        <v>#REF!</v>
      </c>
      <c r="K89" s="1036" t="s">
        <v>806</v>
      </c>
      <c r="L89" s="1035" t="str">
        <f>$M$55</f>
        <v>&lt;&lt; Select Activity Type &gt;&gt;</v>
      </c>
      <c r="M89" s="2542">
        <v>3</v>
      </c>
      <c r="N89" s="32"/>
      <c r="O89" s="630" t="e">
        <f>IF(AND(O93&gt;0,O97&gt;0),"AorB?",MIN($M$89,O93+O97))</f>
        <v>#REF!</v>
      </c>
      <c r="P89" s="630" t="e">
        <f>IF(AND(P93&gt;0,P97&gt;0),"AorB?",MIN($M$89,P93+P97))</f>
        <v>#REF!</v>
      </c>
      <c r="Q89" s="53" t="s">
        <v>1744</v>
      </c>
      <c r="S89" s="294"/>
    </row>
    <row r="90" spans="1:19" s="19" customFormat="1" ht="2.25" customHeight="1">
      <c r="A90" s="245"/>
      <c r="B90" s="55"/>
      <c r="E90" s="13"/>
      <c r="F90" s="19" t="s">
        <v>6810</v>
      </c>
      <c r="G90" s="39"/>
      <c r="H90" s="13"/>
      <c r="I90" s="21"/>
      <c r="K90" s="292"/>
      <c r="L90" s="498"/>
      <c r="M90" s="2542"/>
      <c r="N90" s="32"/>
      <c r="O90" s="2"/>
      <c r="P90" s="2"/>
      <c r="Q90" s="53"/>
      <c r="R90" s="209"/>
    </row>
    <row r="91" spans="1:19" s="19" customFormat="1" ht="13.5" customHeight="1">
      <c r="A91" s="72" t="s">
        <v>185</v>
      </c>
      <c r="B91" s="104" t="s">
        <v>6811</v>
      </c>
      <c r="E91" s="13"/>
      <c r="G91" s="39"/>
      <c r="H91" s="25" t="s">
        <v>630</v>
      </c>
      <c r="I91" s="854" t="e">
        <f>#REF!</f>
        <v>#REF!</v>
      </c>
      <c r="M91" s="2542"/>
      <c r="N91" s="32"/>
      <c r="P91" s="1331" t="e">
        <f>IF(AND(O89&gt;0,NOT($M$55="New Supply")), "Ineligible to score in this section, not New Supply!","")</f>
        <v>#REF!</v>
      </c>
      <c r="Q91" s="32"/>
      <c r="R91" s="209"/>
    </row>
    <row r="92" spans="1:19" s="42" customFormat="1" ht="9" customHeight="1">
      <c r="A92" s="72"/>
      <c r="B92" s="4650" t="s">
        <v>6812</v>
      </c>
      <c r="C92" s="4650"/>
      <c r="D92" s="4650"/>
      <c r="E92" s="4650"/>
      <c r="F92" s="4650"/>
      <c r="G92" s="4650"/>
      <c r="H92" s="4650"/>
      <c r="I92" s="4650"/>
      <c r="J92" s="4650"/>
      <c r="K92" s="4650"/>
      <c r="L92" s="4650"/>
      <c r="M92" s="2542"/>
      <c r="N92" s="32"/>
      <c r="Q92" s="32"/>
      <c r="R92" s="209"/>
    </row>
    <row r="93" spans="1:19" s="42" customFormat="1" ht="13.5" customHeight="1">
      <c r="B93" s="4650"/>
      <c r="C93" s="4650"/>
      <c r="D93" s="4650"/>
      <c r="E93" s="4650"/>
      <c r="F93" s="4650"/>
      <c r="G93" s="4650"/>
      <c r="H93" s="4650"/>
      <c r="I93" s="4650"/>
      <c r="J93" s="4650"/>
      <c r="K93" s="4650"/>
      <c r="L93" s="4650"/>
      <c r="M93" s="501">
        <v>2</v>
      </c>
      <c r="N93" s="217" t="s">
        <v>185</v>
      </c>
      <c r="O93" s="2954" t="e">
        <f>IF(AND(OR($J$89="9%",$J$89="4%"),$L$89="New Supply"),MIN($M93,O94+O95),0)</f>
        <v>#REF!</v>
      </c>
      <c r="P93" s="2954" t="e">
        <f>IF(NOT($J$89="9%"),0,MIN($M93, P94+P95))</f>
        <v>#REF!</v>
      </c>
    </row>
    <row r="94" spans="1:19" s="42" customFormat="1" ht="13.5" customHeight="1">
      <c r="A94" s="72"/>
      <c r="B94" s="823" t="s">
        <v>200</v>
      </c>
      <c r="C94" s="814" t="s">
        <v>1833</v>
      </c>
      <c r="D94" s="13"/>
      <c r="H94" s="13" t="s">
        <v>1834</v>
      </c>
      <c r="I94" s="813"/>
      <c r="J94" s="2955" t="e">
        <f>#REF!</f>
        <v>#REF!</v>
      </c>
      <c r="L94" s="4678" t="str">
        <f>IF(AND(O94&gt;0,O95&gt;0), "CHOOSE EITHER A OR B, NOT BOTH!", "")</f>
        <v/>
      </c>
      <c r="M94" s="2525">
        <v>2</v>
      </c>
      <c r="N94" s="101" t="s">
        <v>200</v>
      </c>
      <c r="O94" s="2606"/>
      <c r="P94" s="2616"/>
      <c r="Q94" s="839" t="str">
        <f>IF(OR($O94=$M94,$O94=0,$O94=""),"","*CHECK!*")</f>
        <v/>
      </c>
      <c r="R94" s="585" t="s">
        <v>6813</v>
      </c>
    </row>
    <row r="95" spans="1:19" s="42" customFormat="1" ht="13.5" customHeight="1">
      <c r="A95" s="283" t="s">
        <v>6814</v>
      </c>
      <c r="B95" s="823" t="s">
        <v>208</v>
      </c>
      <c r="C95" s="814" t="s">
        <v>1835</v>
      </c>
      <c r="D95" s="13"/>
      <c r="I95" s="813"/>
      <c r="K95" s="13"/>
      <c r="L95" s="4678"/>
      <c r="M95" s="2525">
        <v>2</v>
      </c>
      <c r="N95" s="101" t="s">
        <v>208</v>
      </c>
      <c r="O95" s="293"/>
      <c r="P95" s="298"/>
      <c r="Q95" s="839" t="str">
        <f>IF(OR($O95=$M95,$O95=0,$O95=""),"","*CHECK!*")</f>
        <v/>
      </c>
      <c r="R95" s="585" t="s">
        <v>6813</v>
      </c>
    </row>
    <row r="96" spans="1:19" s="19" customFormat="1" ht="6.75" customHeight="1">
      <c r="A96" s="328"/>
      <c r="B96" s="325"/>
      <c r="C96" s="326"/>
      <c r="D96" s="73"/>
      <c r="K96" s="502"/>
      <c r="L96" s="502"/>
      <c r="M96" s="2525"/>
      <c r="N96" s="217"/>
      <c r="O96" s="504"/>
      <c r="P96" s="504"/>
    </row>
    <row r="97" spans="1:18" s="19" customFormat="1" ht="13.5" customHeight="1">
      <c r="A97" s="72" t="s">
        <v>197</v>
      </c>
      <c r="B97" s="104" t="s">
        <v>6815</v>
      </c>
      <c r="E97" s="25"/>
      <c r="H97" s="4886" t="s">
        <v>6816</v>
      </c>
      <c r="I97" s="4887"/>
      <c r="J97" s="817" t="s">
        <v>6817</v>
      </c>
      <c r="M97" s="501">
        <v>3</v>
      </c>
      <c r="N97" s="84" t="s">
        <v>197</v>
      </c>
      <c r="O97" s="2954" t="e">
        <f>IF(AND(O98="Yes", O99="Yes"),$M$97,0)</f>
        <v>#REF!</v>
      </c>
      <c r="P97" s="2954" t="e">
        <f>IF(AND(P98="Yes", P99="Yes"),$M$97,0)</f>
        <v>#REF!</v>
      </c>
    </row>
    <row r="98" spans="1:18" s="19" customFormat="1" ht="13.5" customHeight="1">
      <c r="A98" s="240"/>
      <c r="B98" s="823" t="s">
        <v>200</v>
      </c>
      <c r="C98" s="815">
        <v>0.3</v>
      </c>
      <c r="D98" s="548" t="s">
        <v>6818</v>
      </c>
      <c r="E98" s="25"/>
      <c r="F98" s="263"/>
      <c r="H98" s="2956"/>
      <c r="I98" s="2957"/>
      <c r="J98" s="816" t="e">
        <f>#REF!</f>
        <v>#REF!</v>
      </c>
      <c r="K98" s="2958" t="e">
        <f>IF(OR(#REF!="",#REF!= 0),0,H98/#REF!)</f>
        <v>#REF!</v>
      </c>
      <c r="L98" s="2959" t="e">
        <f>IF(OR(#REF!="",#REF!= 0),0,I98/#REF!)</f>
        <v>#REF!</v>
      </c>
      <c r="M98" s="2525"/>
      <c r="N98" s="217" t="s">
        <v>200</v>
      </c>
      <c r="O98" s="2960" t="e">
        <f>IF(AND(K98 &gt;= $C$98,O99="Yes"),"Yes","No")</f>
        <v>#REF!</v>
      </c>
      <c r="P98" s="2960" t="e">
        <f>IF(AND(L98 &gt;= $C$98,P99="Yes"),"Yes","No")</f>
        <v>#REF!</v>
      </c>
    </row>
    <row r="99" spans="1:18" s="19" customFormat="1" ht="13.5" customHeight="1">
      <c r="A99" s="328"/>
      <c r="B99" s="823" t="s">
        <v>208</v>
      </c>
      <c r="C99" s="272" t="s">
        <v>6819</v>
      </c>
      <c r="E99" s="524"/>
      <c r="F99" s="263"/>
      <c r="I99" s="14"/>
      <c r="J99" s="14"/>
      <c r="K99" s="14"/>
      <c r="L99" s="14"/>
      <c r="M99" s="14"/>
      <c r="N99" s="217" t="s">
        <v>208</v>
      </c>
      <c r="O99" s="118"/>
      <c r="P99" s="300"/>
    </row>
    <row r="100" spans="1:18" s="19" customFormat="1" ht="10.5" customHeight="1">
      <c r="A100" s="43"/>
      <c r="B100" s="45" t="s">
        <v>1452</v>
      </c>
      <c r="D100" s="37"/>
      <c r="E100" s="2586"/>
      <c r="F100" s="2586"/>
      <c r="G100" s="2586"/>
      <c r="H100" s="2586"/>
      <c r="I100" s="2586"/>
      <c r="J100" s="2586"/>
      <c r="K100" s="2586"/>
      <c r="L100" s="2586"/>
      <c r="M100" s="2586"/>
      <c r="N100" s="2401"/>
      <c r="O100" s="31"/>
      <c r="P100" s="2542"/>
    </row>
    <row r="101" spans="1:18" s="19" customFormat="1" ht="22.5" customHeight="1">
      <c r="A101" s="4386"/>
      <c r="B101" s="4387"/>
      <c r="C101" s="4387"/>
      <c r="D101" s="4387"/>
      <c r="E101" s="4387"/>
      <c r="F101" s="4387"/>
      <c r="G101" s="4387"/>
      <c r="H101" s="4387"/>
      <c r="I101" s="4387"/>
      <c r="J101" s="4387"/>
      <c r="K101" s="4387"/>
      <c r="L101" s="4387"/>
      <c r="M101" s="4387"/>
      <c r="N101" s="4387"/>
      <c r="O101" s="4387"/>
      <c r="P101" s="4388"/>
      <c r="Q101" s="248"/>
    </row>
    <row r="102" spans="1:18" ht="7.5" customHeight="1" thickBot="1">
      <c r="N102" s="58"/>
    </row>
    <row r="103" spans="1:18" s="19" customFormat="1" ht="13.5" customHeight="1" thickBot="1">
      <c r="A103" s="79" t="s">
        <v>57</v>
      </c>
      <c r="B103" s="50" t="s">
        <v>1840</v>
      </c>
      <c r="D103" s="17"/>
      <c r="K103" s="1036" t="s">
        <v>806</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1744</v>
      </c>
    </row>
    <row r="104" spans="1:18" s="19" customFormat="1" ht="15">
      <c r="A104" s="43"/>
      <c r="B104" s="150" t="s">
        <v>6820</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6821</v>
      </c>
      <c r="D105" s="11"/>
      <c r="N105" s="28"/>
      <c r="O105" s="2929"/>
      <c r="P105" s="2961"/>
    </row>
    <row r="106" spans="1:18" s="42" customFormat="1" ht="12.75" customHeight="1">
      <c r="A106" s="72" t="s">
        <v>185</v>
      </c>
      <c r="B106" s="92" t="s">
        <v>1841</v>
      </c>
      <c r="C106" s="3"/>
      <c r="D106" s="3"/>
      <c r="F106" s="151"/>
      <c r="H106" s="482" t="s">
        <v>6822</v>
      </c>
      <c r="I106" s="4858" t="s">
        <v>6823</v>
      </c>
      <c r="J106" s="4859"/>
      <c r="K106" s="4859"/>
      <c r="L106" s="4860"/>
      <c r="M106" s="2525">
        <v>20</v>
      </c>
      <c r="N106" s="101" t="s">
        <v>185</v>
      </c>
      <c r="O106" s="1196"/>
      <c r="P106" s="1197"/>
      <c r="Q106" s="839"/>
      <c r="R106" s="585" t="s">
        <v>6813</v>
      </c>
    </row>
    <row r="107" spans="1:18" s="42" customFormat="1" ht="12.75" customHeight="1">
      <c r="A107" s="72" t="s">
        <v>197</v>
      </c>
      <c r="B107" s="92" t="s">
        <v>1842</v>
      </c>
      <c r="D107" s="640"/>
      <c r="F107" s="855"/>
      <c r="H107" s="482" t="s">
        <v>6824</v>
      </c>
      <c r="I107" s="4861"/>
      <c r="J107" s="4768"/>
      <c r="K107" s="4768"/>
      <c r="L107" s="4862"/>
      <c r="M107" s="2596" t="s">
        <v>1843</v>
      </c>
      <c r="N107" s="28" t="s">
        <v>197</v>
      </c>
      <c r="O107" s="1198"/>
      <c r="P107" s="1199"/>
      <c r="R107" s="585" t="s">
        <v>6813</v>
      </c>
    </row>
    <row r="108" spans="1:18" s="19" customFormat="1" ht="12.75" customHeight="1" thickBot="1">
      <c r="A108" s="43"/>
      <c r="B108" s="672" t="s">
        <v>6825</v>
      </c>
      <c r="C108" s="43"/>
      <c r="D108" s="48"/>
      <c r="E108" s="48"/>
      <c r="F108" s="48"/>
      <c r="G108" s="48"/>
      <c r="H108" s="13"/>
      <c r="I108" s="4863"/>
      <c r="J108" s="4864"/>
      <c r="K108" s="4864"/>
      <c r="L108" s="4865"/>
      <c r="M108" s="32"/>
      <c r="N108" s="58"/>
      <c r="O108" s="2"/>
      <c r="P108" s="9"/>
    </row>
    <row r="109" spans="1:18" s="19" customFormat="1" ht="90" customHeight="1" thickTop="1" thickBot="1">
      <c r="A109" s="4682"/>
      <c r="B109" s="4683"/>
      <c r="C109" s="4683"/>
      <c r="D109" s="4683"/>
      <c r="E109" s="4683"/>
      <c r="F109" s="4683"/>
      <c r="G109" s="4683"/>
      <c r="H109" s="4683"/>
      <c r="I109" s="4683"/>
      <c r="J109" s="4683"/>
      <c r="K109" s="4683"/>
      <c r="L109" s="4683"/>
      <c r="M109" s="4683"/>
      <c r="N109" s="4683"/>
      <c r="O109" s="4683"/>
      <c r="P109" s="4684"/>
      <c r="Q109" s="249" t="s">
        <v>6410</v>
      </c>
      <c r="R109" s="249"/>
    </row>
    <row r="110" spans="1:18" s="19" customFormat="1" ht="11.85" customHeight="1" thickTop="1">
      <c r="A110" s="43"/>
      <c r="B110" s="23" t="s">
        <v>1452</v>
      </c>
      <c r="C110" s="43"/>
      <c r="D110" s="70"/>
      <c r="E110" s="2586"/>
      <c r="F110" s="2586"/>
      <c r="G110" s="2586"/>
      <c r="H110" s="2586"/>
      <c r="I110" s="2586"/>
      <c r="J110" s="2586"/>
      <c r="K110" s="2586"/>
      <c r="L110" s="2586"/>
      <c r="M110" s="2586"/>
      <c r="N110" s="2401"/>
      <c r="O110" s="31"/>
      <c r="P110" s="2542"/>
    </row>
    <row r="111" spans="1:18" s="19" customFormat="1" ht="90" customHeight="1">
      <c r="A111" s="4386"/>
      <c r="B111" s="4387"/>
      <c r="C111" s="4387"/>
      <c r="D111" s="4387"/>
      <c r="E111" s="4387"/>
      <c r="F111" s="4387"/>
      <c r="G111" s="4387"/>
      <c r="H111" s="4387"/>
      <c r="I111" s="4387"/>
      <c r="J111" s="4387"/>
      <c r="K111" s="4387"/>
      <c r="L111" s="4387"/>
      <c r="M111" s="4387"/>
      <c r="N111" s="4387"/>
      <c r="O111" s="4387"/>
      <c r="P111" s="4388"/>
      <c r="Q111" s="248"/>
      <c r="R111" s="249"/>
    </row>
    <row r="112" spans="1:18" ht="7.5" customHeight="1" thickBot="1">
      <c r="M112" s="11"/>
      <c r="N112" s="32"/>
      <c r="O112" s="2542"/>
      <c r="P112" s="2542"/>
    </row>
    <row r="113" spans="1:21" s="19" customFormat="1" ht="13.5" customHeight="1" thickBot="1">
      <c r="A113" s="79" t="s">
        <v>66</v>
      </c>
      <c r="B113" s="50" t="s">
        <v>1844</v>
      </c>
      <c r="D113" s="17"/>
      <c r="H113" s="1034" t="s">
        <v>6826</v>
      </c>
      <c r="I113" s="1087" t="s">
        <v>1733</v>
      </c>
      <c r="J113" s="1035" t="str">
        <f>M60</f>
        <v>&lt;&lt; Select Pool &gt;&gt;</v>
      </c>
      <c r="K113" s="1036" t="s">
        <v>806</v>
      </c>
      <c r="L113" s="1035" t="str">
        <f>M55</f>
        <v>&lt;&lt; Select Activity Type &gt;&gt;</v>
      </c>
      <c r="M113" s="2542">
        <v>6</v>
      </c>
      <c r="N113" s="28"/>
      <c r="O113" s="1080">
        <f>MAX(O131,O138)</f>
        <v>0</v>
      </c>
      <c r="P113" s="1080">
        <f>MAX(P131,P138)</f>
        <v>0</v>
      </c>
      <c r="Q113" s="53" t="s">
        <v>1744</v>
      </c>
      <c r="R113" s="639"/>
      <c r="S113" s="639"/>
      <c r="T113" s="639"/>
      <c r="U113" s="639"/>
    </row>
    <row r="114" spans="1:21" s="19" customFormat="1" ht="17.25" customHeight="1">
      <c r="A114" s="79"/>
      <c r="B114" s="48" t="s">
        <v>6827</v>
      </c>
      <c r="D114" s="17"/>
      <c r="H114" s="92"/>
      <c r="L114" s="1324" t="str">
        <f>IF(AND(O113&gt;0,NOT($M$55="New Supply")), "Ineligible to score in this section, not New Supply!","")</f>
        <v/>
      </c>
      <c r="M114" s="2542"/>
      <c r="N114" s="28"/>
      <c r="O114" s="2543" t="s">
        <v>6828</v>
      </c>
      <c r="P114" s="2543" t="s">
        <v>6829</v>
      </c>
      <c r="Q114" s="53"/>
      <c r="R114" s="639"/>
      <c r="S114" s="639"/>
      <c r="T114" s="639"/>
      <c r="U114" s="639"/>
    </row>
    <row r="115" spans="1:21" s="19" customFormat="1" ht="11.25" customHeight="1">
      <c r="A115" s="79"/>
      <c r="B115" s="208" t="s">
        <v>200</v>
      </c>
      <c r="C115" s="13" t="s">
        <v>6830</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208</v>
      </c>
      <c r="C116" s="13" t="s">
        <v>6831</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212</v>
      </c>
      <c r="C117" s="13" t="s">
        <v>6832</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252</v>
      </c>
      <c r="C118" s="13" t="s">
        <v>6833</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6834</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6835</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1845</v>
      </c>
      <c r="D123" s="17"/>
      <c r="F123" s="4810" t="s">
        <v>1846</v>
      </c>
      <c r="G123" s="4810"/>
      <c r="H123" s="4810"/>
      <c r="I123" s="4810"/>
      <c r="J123" s="4810" t="s">
        <v>1847</v>
      </c>
      <c r="K123" s="4810"/>
      <c r="L123" s="4810"/>
      <c r="M123" s="4810"/>
      <c r="N123" s="28"/>
      <c r="O123" s="4811" t="s">
        <v>6836</v>
      </c>
      <c r="P123" s="4812"/>
      <c r="Q123" s="53"/>
      <c r="R123" s="639"/>
      <c r="S123" s="639"/>
      <c r="T123" s="639"/>
      <c r="U123" s="639"/>
    </row>
    <row r="124" spans="1:21" s="19" customFormat="1" ht="12" customHeight="1">
      <c r="B124" s="1253"/>
      <c r="C124" s="813" t="s">
        <v>6837</v>
      </c>
      <c r="E124" s="135"/>
      <c r="F124" s="4815"/>
      <c r="G124" s="4816"/>
      <c r="H124" s="4813"/>
      <c r="I124" s="4814"/>
      <c r="J124" s="4815"/>
      <c r="K124" s="4816"/>
      <c r="L124" s="4813"/>
      <c r="M124" s="4814"/>
      <c r="N124" s="28"/>
      <c r="Q124" s="53"/>
      <c r="R124" s="639"/>
      <c r="S124" s="639"/>
      <c r="T124" s="639"/>
      <c r="U124" s="639"/>
    </row>
    <row r="125" spans="1:21" s="19" customFormat="1" ht="12" customHeight="1">
      <c r="A125" s="1253"/>
      <c r="B125" s="1253"/>
      <c r="C125" s="1253"/>
      <c r="D125" s="146"/>
      <c r="E125" s="1252" t="s">
        <v>6838</v>
      </c>
      <c r="F125" s="4680"/>
      <c r="G125" s="4681"/>
      <c r="H125" s="4670"/>
      <c r="I125" s="4671"/>
      <c r="J125" s="4680"/>
      <c r="K125" s="4681"/>
      <c r="L125" s="4670"/>
      <c r="M125" s="4671"/>
      <c r="N125" s="28"/>
      <c r="O125" s="2962"/>
      <c r="P125" s="2963"/>
      <c r="Q125" s="53"/>
      <c r="R125" s="639"/>
      <c r="S125" s="639"/>
      <c r="T125" s="639"/>
      <c r="U125" s="639"/>
    </row>
    <row r="126" spans="1:21" s="19" customFormat="1" ht="12" customHeight="1">
      <c r="A126" s="4691" t="s">
        <v>6839</v>
      </c>
      <c r="B126" s="4691"/>
      <c r="C126" s="813" t="s">
        <v>6840</v>
      </c>
      <c r="E126" s="135"/>
      <c r="F126" s="3640"/>
      <c r="G126" s="4685"/>
      <c r="H126" s="4606"/>
      <c r="I126" s="4607"/>
      <c r="J126" s="3640"/>
      <c r="K126" s="4685"/>
      <c r="L126" s="4606"/>
      <c r="M126" s="4607"/>
      <c r="N126" s="28"/>
      <c r="O126" s="28"/>
      <c r="P126" s="28"/>
      <c r="Q126" s="53"/>
      <c r="R126" s="639"/>
      <c r="S126" s="639"/>
      <c r="T126" s="639"/>
      <c r="U126" s="639"/>
    </row>
    <row r="127" spans="1:21" s="19" customFormat="1" ht="12" customHeight="1">
      <c r="A127" s="4691"/>
      <c r="B127" s="4691"/>
      <c r="C127" s="146"/>
      <c r="D127" s="146"/>
      <c r="E127" s="1252" t="s">
        <v>6841</v>
      </c>
      <c r="F127" s="3646"/>
      <c r="G127" s="4679"/>
      <c r="H127" s="4665"/>
      <c r="I127" s="4666"/>
      <c r="J127" s="3646"/>
      <c r="K127" s="4679"/>
      <c r="L127" s="4665"/>
      <c r="M127" s="4666"/>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 customHeight="1">
      <c r="A129" s="1320" t="s">
        <v>6842</v>
      </c>
      <c r="B129" s="50"/>
      <c r="D129" s="17"/>
      <c r="I129" s="4687" t="str">
        <f>IF(AND(O131&gt;0,O138&gt;0),"Pick A or B, not both!","")</f>
        <v/>
      </c>
      <c r="J129" s="4687"/>
      <c r="K129" s="4687" t="str">
        <f>IF(AND(P131&gt;0,P138&gt;0),"Pick A or B, not both!","")</f>
        <v/>
      </c>
      <c r="L129" s="4687"/>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 customHeight="1">
      <c r="A131" s="76" t="s">
        <v>185</v>
      </c>
      <c r="B131" s="92" t="s">
        <v>1855</v>
      </c>
      <c r="D131" s="17"/>
      <c r="F131" s="672" t="s">
        <v>6843</v>
      </c>
      <c r="M131" s="2542">
        <v>6</v>
      </c>
      <c r="N131" s="217" t="s">
        <v>185</v>
      </c>
      <c r="O131" s="2964">
        <f>IF(OR($J$113="Atlanta Metro",$J$113="Other Metro"),MIN($M131,O133+O134),0)</f>
        <v>0</v>
      </c>
      <c r="P131" s="2964">
        <f>IF(OR($J$113="Atlanta Metro",$J$113="Other Metro"),MIN($M131,P133+P134),0)</f>
        <v>0</v>
      </c>
      <c r="Q131" s="53"/>
    </row>
    <row r="132" spans="1:21" s="19" customFormat="1" ht="12.6" customHeight="1">
      <c r="A132" s="76"/>
      <c r="B132" s="13" t="s">
        <v>6844</v>
      </c>
      <c r="D132" s="17"/>
      <c r="F132" s="21"/>
      <c r="M132" s="2542"/>
      <c r="N132" s="217"/>
      <c r="O132" s="118"/>
      <c r="P132" s="300"/>
      <c r="Q132" s="53"/>
    </row>
    <row r="133" spans="1:21" s="228" customFormat="1" ht="25.5" customHeight="1">
      <c r="B133" s="244" t="s">
        <v>200</v>
      </c>
      <c r="C133" s="4809" t="s">
        <v>6845</v>
      </c>
      <c r="D133" s="4809"/>
      <c r="E133" s="4809"/>
      <c r="F133" s="4809"/>
      <c r="G133" s="4809"/>
      <c r="H133" s="4809"/>
      <c r="I133" s="4809"/>
      <c r="J133" s="4809"/>
      <c r="K133" s="4809"/>
      <c r="L133" s="4809"/>
      <c r="M133" s="1260">
        <v>6</v>
      </c>
      <c r="N133" s="266" t="s">
        <v>200</v>
      </c>
      <c r="O133" s="2615"/>
      <c r="P133" s="2965"/>
      <c r="Q133" s="839"/>
      <c r="R133" s="585" t="s">
        <v>6813</v>
      </c>
    </row>
    <row r="134" spans="1:21" s="228" customFormat="1" ht="12" customHeight="1">
      <c r="A134" s="328" t="s">
        <v>326</v>
      </c>
      <c r="B134" s="244" t="s">
        <v>208</v>
      </c>
      <c r="C134" s="3998" t="s">
        <v>6846</v>
      </c>
      <c r="D134" s="3998"/>
      <c r="E134" s="3998"/>
      <c r="F134" s="3998"/>
      <c r="G134" s="628"/>
      <c r="J134" s="4817" t="s">
        <v>6847</v>
      </c>
      <c r="K134" s="4818"/>
      <c r="L134" s="4819"/>
      <c r="M134" s="2525">
        <v>5</v>
      </c>
      <c r="N134" s="242" t="s">
        <v>208</v>
      </c>
      <c r="O134" s="1317"/>
      <c r="P134" s="1318"/>
      <c r="Q134" s="1229" t="s">
        <v>1859</v>
      </c>
      <c r="R134" s="2871" t="s">
        <v>1856</v>
      </c>
      <c r="S134" s="2871" t="s">
        <v>1857</v>
      </c>
    </row>
    <row r="135" spans="1:21" s="228" customFormat="1" ht="12" customHeight="1">
      <c r="B135" s="244"/>
      <c r="C135" s="3998"/>
      <c r="D135" s="3998"/>
      <c r="E135" s="3998"/>
      <c r="F135" s="3998"/>
      <c r="G135" s="628"/>
      <c r="H135" s="4375" t="s">
        <v>6848</v>
      </c>
      <c r="I135" s="4375"/>
      <c r="J135" s="4820"/>
      <c r="K135" s="4821"/>
      <c r="L135" s="4822"/>
      <c r="M135" s="4509" t="str">
        <f>IF(AND(O134&gt;0,O133&gt;0),"Pick A1 or A2!","")</f>
        <v/>
      </c>
      <c r="N135" s="4509"/>
      <c r="O135" s="4509"/>
      <c r="P135" s="4509"/>
      <c r="Q135" s="586"/>
      <c r="R135" s="1037">
        <v>0.25</v>
      </c>
      <c r="S135" s="1037">
        <v>5</v>
      </c>
    </row>
    <row r="136" spans="1:21" s="228" customFormat="1" ht="12" customHeight="1">
      <c r="B136" s="244"/>
      <c r="C136" s="3998"/>
      <c r="D136" s="3998"/>
      <c r="E136" s="3998"/>
      <c r="F136" s="3998"/>
      <c r="G136" s="628"/>
      <c r="H136" s="2966"/>
      <c r="I136" s="2967"/>
      <c r="J136" s="4820"/>
      <c r="K136" s="4821"/>
      <c r="L136" s="4822"/>
      <c r="Q136" s="586"/>
      <c r="R136" s="1037">
        <v>0.5</v>
      </c>
      <c r="S136" s="1037">
        <v>4.5</v>
      </c>
    </row>
    <row r="137" spans="1:21" s="228" customFormat="1" ht="12" customHeight="1">
      <c r="B137" s="244"/>
      <c r="C137" s="3998"/>
      <c r="D137" s="3998"/>
      <c r="E137" s="3998"/>
      <c r="F137" s="3998"/>
      <c r="G137" s="628"/>
      <c r="J137" s="4820"/>
      <c r="K137" s="4821"/>
      <c r="L137" s="4822"/>
      <c r="M137" s="42"/>
      <c r="N137" s="42"/>
      <c r="O137" s="42"/>
      <c r="P137" s="42"/>
      <c r="Q137" s="284"/>
      <c r="R137" s="1038">
        <v>1</v>
      </c>
      <c r="S137" s="1038">
        <v>4</v>
      </c>
    </row>
    <row r="138" spans="1:21" s="228" customFormat="1" ht="12" customHeight="1">
      <c r="A138" s="76" t="s">
        <v>197</v>
      </c>
      <c r="B138" s="646" t="s">
        <v>1861</v>
      </c>
      <c r="C138" s="356"/>
      <c r="D138" s="356"/>
      <c r="F138" s="1302" t="s">
        <v>6849</v>
      </c>
      <c r="J138" s="4851" t="s">
        <v>6850</v>
      </c>
      <c r="K138" s="4852"/>
      <c r="L138" s="2968" t="s">
        <v>6851</v>
      </c>
      <c r="M138" s="501">
        <v>3</v>
      </c>
      <c r="N138" s="28" t="s">
        <v>197</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1863</v>
      </c>
      <c r="R138" s="2970">
        <v>0.25</v>
      </c>
      <c r="S138" s="2970">
        <v>3</v>
      </c>
    </row>
    <row r="139" spans="1:21" s="19" customFormat="1" ht="12" customHeight="1">
      <c r="A139" s="79"/>
      <c r="B139" s="1096" t="s">
        <v>200</v>
      </c>
      <c r="C139" s="3998" t="s">
        <v>6852</v>
      </c>
      <c r="D139" s="3998"/>
      <c r="E139" s="3998"/>
      <c r="F139" s="3998"/>
      <c r="G139" s="628"/>
      <c r="H139" s="4375" t="s">
        <v>6853</v>
      </c>
      <c r="I139" s="4375"/>
      <c r="J139" s="4672" t="s">
        <v>6854</v>
      </c>
      <c r="K139" s="4673"/>
      <c r="L139" s="4674"/>
      <c r="M139" s="2525">
        <v>3</v>
      </c>
      <c r="N139" s="242" t="s">
        <v>200</v>
      </c>
      <c r="O139" s="4648"/>
      <c r="P139" s="4651"/>
      <c r="Q139" s="586" t="str">
        <f>IF(OR($O141=$M141,$O141=0,$O141=""),"","*CHECK!*")</f>
        <v/>
      </c>
      <c r="R139" s="1037">
        <v>0.5</v>
      </c>
      <c r="S139" s="1037">
        <v>2</v>
      </c>
      <c r="U139" s="228"/>
    </row>
    <row r="140" spans="1:21" s="19" customFormat="1" ht="12" customHeight="1">
      <c r="A140" s="79"/>
      <c r="B140" s="2596"/>
      <c r="C140" s="3998"/>
      <c r="D140" s="3998"/>
      <c r="E140" s="3998"/>
      <c r="F140" s="3998"/>
      <c r="G140" s="42"/>
      <c r="H140" s="2966"/>
      <c r="I140" s="2967"/>
      <c r="J140" s="4635" t="s">
        <v>6855</v>
      </c>
      <c r="K140" s="4636"/>
      <c r="L140" s="4637"/>
      <c r="M140" s="42"/>
      <c r="O140" s="4649"/>
      <c r="P140" s="4652"/>
      <c r="Q140" s="53"/>
      <c r="R140" s="1038">
        <v>1</v>
      </c>
      <c r="S140" s="1038">
        <v>1</v>
      </c>
      <c r="U140" s="228"/>
    </row>
    <row r="141" spans="1:21" s="19" customFormat="1" ht="11.25" customHeight="1">
      <c r="A141" s="328" t="s">
        <v>326</v>
      </c>
      <c r="B141" s="1096" t="s">
        <v>208</v>
      </c>
      <c r="C141" s="3998" t="s">
        <v>6856</v>
      </c>
      <c r="D141" s="3998"/>
      <c r="E141" s="3998"/>
      <c r="F141" s="3998"/>
      <c r="G141" s="3998"/>
      <c r="H141" s="3998"/>
      <c r="I141" s="1303"/>
      <c r="J141" s="4638"/>
      <c r="K141" s="4639"/>
      <c r="L141" s="4640"/>
      <c r="M141" s="2525">
        <v>1</v>
      </c>
      <c r="N141" s="242" t="s">
        <v>208</v>
      </c>
      <c r="O141" s="4868"/>
      <c r="P141" s="4690"/>
      <c r="U141" s="228"/>
    </row>
    <row r="142" spans="1:21" s="19" customFormat="1" ht="11.25" customHeight="1">
      <c r="B142" s="1304"/>
      <c r="C142" s="3998"/>
      <c r="D142" s="3998"/>
      <c r="E142" s="3998"/>
      <c r="F142" s="3998"/>
      <c r="G142" s="3998"/>
      <c r="H142" s="3998"/>
      <c r="I142" s="1303"/>
      <c r="J142" s="4641"/>
      <c r="K142" s="4642"/>
      <c r="L142" s="4643"/>
      <c r="O142" s="4868"/>
      <c r="P142" s="4690"/>
      <c r="T142" s="228"/>
      <c r="U142" s="228"/>
    </row>
    <row r="143" spans="1:21" s="228" customFormat="1" ht="12" customHeight="1">
      <c r="A143" s="1095" t="s">
        <v>326</v>
      </c>
      <c r="B143" s="1096" t="s">
        <v>212</v>
      </c>
      <c r="C143" s="3998" t="s">
        <v>6857</v>
      </c>
      <c r="D143" s="3998"/>
      <c r="E143" s="3998"/>
      <c r="F143" s="3998"/>
      <c r="G143" s="3998"/>
      <c r="H143" s="3998"/>
      <c r="I143" s="4647"/>
      <c r="J143" s="4635" t="s">
        <v>6858</v>
      </c>
      <c r="K143" s="4636"/>
      <c r="L143" s="4637"/>
      <c r="M143" s="1260">
        <v>2</v>
      </c>
      <c r="N143" s="266" t="s">
        <v>212</v>
      </c>
      <c r="O143" s="4688"/>
      <c r="P143" s="4866"/>
      <c r="Q143" s="586"/>
      <c r="R143" s="585"/>
    </row>
    <row r="144" spans="1:21" s="19" customFormat="1" ht="36.75" customHeight="1">
      <c r="C144" s="3998"/>
      <c r="D144" s="3998"/>
      <c r="E144" s="3998"/>
      <c r="F144" s="3998"/>
      <c r="G144" s="3998"/>
      <c r="H144" s="3998"/>
      <c r="I144" s="4647"/>
      <c r="J144" s="4644"/>
      <c r="K144" s="4645"/>
      <c r="L144" s="4646"/>
      <c r="O144" s="4689"/>
      <c r="P144" s="4867"/>
    </row>
    <row r="145" spans="1:19" s="19" customFormat="1" ht="12.6" customHeight="1">
      <c r="A145" s="13" t="s">
        <v>6859</v>
      </c>
      <c r="B145" s="92"/>
      <c r="E145" s="17"/>
      <c r="K145" s="48"/>
      <c r="M145" s="32"/>
      <c r="N145" s="32"/>
      <c r="O145" s="32"/>
      <c r="P145" s="32"/>
      <c r="Q145" s="209"/>
      <c r="R145" s="209"/>
    </row>
    <row r="146" spans="1:19" s="19" customFormat="1" ht="11.25" customHeight="1" thickBot="1">
      <c r="A146" s="43"/>
      <c r="B146" s="672" t="s">
        <v>6825</v>
      </c>
      <c r="C146" s="43"/>
      <c r="D146" s="48"/>
      <c r="E146" s="48"/>
      <c r="F146" s="48"/>
      <c r="G146" s="48"/>
      <c r="H146" s="13"/>
      <c r="K146" s="48"/>
      <c r="M146" s="32"/>
      <c r="N146" s="58"/>
      <c r="O146" s="2"/>
      <c r="P146" s="9"/>
    </row>
    <row r="147" spans="1:19" s="19" customFormat="1" ht="29.25" customHeight="1" thickTop="1" thickBot="1">
      <c r="A147" s="4682"/>
      <c r="B147" s="4683"/>
      <c r="C147" s="4683"/>
      <c r="D147" s="4683"/>
      <c r="E147" s="4683"/>
      <c r="F147" s="4683"/>
      <c r="G147" s="4683"/>
      <c r="H147" s="4683"/>
      <c r="I147" s="4683"/>
      <c r="J147" s="4683"/>
      <c r="K147" s="4683"/>
      <c r="L147" s="4683"/>
      <c r="M147" s="4683"/>
      <c r="N147" s="4683"/>
      <c r="O147" s="4683"/>
      <c r="P147" s="4684"/>
      <c r="Q147" s="249" t="s">
        <v>6410</v>
      </c>
      <c r="R147" s="249"/>
    </row>
    <row r="148" spans="1:19" s="42" customFormat="1" ht="11.85" customHeight="1" thickTop="1">
      <c r="A148" s="43"/>
      <c r="B148" s="45" t="s">
        <v>1452</v>
      </c>
      <c r="C148" s="43"/>
      <c r="D148" s="45"/>
      <c r="E148" s="2590"/>
      <c r="F148" s="2590"/>
      <c r="G148" s="2590"/>
      <c r="H148" s="2590"/>
      <c r="I148" s="2590"/>
      <c r="J148" s="2590"/>
      <c r="K148" s="2590"/>
      <c r="L148" s="2590"/>
      <c r="M148" s="2590"/>
      <c r="N148" s="2402"/>
      <c r="O148" s="493"/>
      <c r="P148" s="2542"/>
      <c r="Q148" s="19"/>
    </row>
    <row r="149" spans="1:19" s="19" customFormat="1" ht="11.25" customHeight="1">
      <c r="A149" s="4386"/>
      <c r="B149" s="4387"/>
      <c r="C149" s="4387"/>
      <c r="D149" s="4387"/>
      <c r="E149" s="4387"/>
      <c r="F149" s="4387"/>
      <c r="G149" s="4387"/>
      <c r="H149" s="4387"/>
      <c r="I149" s="4387"/>
      <c r="J149" s="4387"/>
      <c r="K149" s="4387"/>
      <c r="L149" s="4387"/>
      <c r="M149" s="4387"/>
      <c r="N149" s="4387"/>
      <c r="O149" s="4387"/>
      <c r="P149" s="4388"/>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68</v>
      </c>
      <c r="B152" s="50" t="s">
        <v>1866</v>
      </c>
      <c r="C152" s="2586"/>
      <c r="D152" s="2586"/>
      <c r="E152" s="2586"/>
      <c r="G152" s="1036" t="s">
        <v>6437</v>
      </c>
      <c r="H152" s="629" t="str">
        <f>'Part VII-Threshold Criteria OLD'!$J$35</f>
        <v>&lt;&lt; Select PROPOSED Tenancy &gt;&gt;</v>
      </c>
      <c r="M152" s="2542">
        <v>3</v>
      </c>
      <c r="N152" s="2401"/>
      <c r="O152" s="1081"/>
      <c r="P152" s="1082"/>
      <c r="Q152" s="839" t="str">
        <f>IF(OR($O152&lt;=$M152,$O152=0,$O152=""),"","*CHECK!*")</f>
        <v/>
      </c>
      <c r="R152" s="1084" t="s">
        <v>1744</v>
      </c>
      <c r="S152" s="585" t="s">
        <v>6813</v>
      </c>
    </row>
    <row r="153" spans="1:19" ht="18.75" customHeight="1">
      <c r="C153" s="1030" t="s">
        <v>6860</v>
      </c>
      <c r="F153" s="1030"/>
      <c r="G153" s="1030"/>
      <c r="H153" s="1030"/>
      <c r="I153" s="1108"/>
      <c r="J153" s="1109"/>
      <c r="K153" s="1110"/>
      <c r="M153" s="19"/>
      <c r="N153"/>
      <c r="O153"/>
      <c r="P153" s="1348"/>
    </row>
    <row r="154" spans="1:19" ht="11.25" customHeight="1">
      <c r="C154" s="1030" t="s">
        <v>6861</v>
      </c>
      <c r="F154" s="1030"/>
      <c r="G154" s="1030"/>
      <c r="H154" s="1030"/>
      <c r="I154" s="1108"/>
      <c r="J154" s="4667" t="s">
        <v>6862</v>
      </c>
      <c r="K154" s="4668"/>
      <c r="L154" s="4668"/>
      <c r="M154" s="4669"/>
      <c r="N154"/>
      <c r="O154"/>
      <c r="P154"/>
    </row>
    <row r="155" spans="1:19" ht="12.75" customHeight="1">
      <c r="B155" s="305"/>
      <c r="C155" s="305"/>
      <c r="D155" s="305"/>
      <c r="F155" s="4441" t="s">
        <v>6863</v>
      </c>
      <c r="G155" s="4441"/>
      <c r="H155" s="4441" t="s">
        <v>6864</v>
      </c>
      <c r="I155" s="4441"/>
      <c r="J155" s="4653" t="s">
        <v>6865</v>
      </c>
      <c r="K155" s="4654"/>
      <c r="L155" s="4656" t="s">
        <v>6866</v>
      </c>
      <c r="M155" s="4657"/>
      <c r="N155" s="25"/>
      <c r="O155" s="1277"/>
      <c r="P155" s="1278"/>
    </row>
    <row r="156" spans="1:19" ht="30.75" customHeight="1">
      <c r="B156" s="305"/>
      <c r="C156" s="305"/>
      <c r="D156" s="305"/>
      <c r="F156" s="4441"/>
      <c r="G156" s="4441"/>
      <c r="H156" s="4441"/>
      <c r="I156" s="4441"/>
      <c r="J156" s="4655"/>
      <c r="K156" s="4654"/>
      <c r="L156" s="4441"/>
      <c r="M156" s="4658"/>
      <c r="N156" s="25"/>
      <c r="O156" s="1279"/>
      <c r="P156" s="1278"/>
    </row>
    <row r="157" spans="1:19" ht="12" customHeight="1">
      <c r="B157" s="48" t="s">
        <v>6867</v>
      </c>
      <c r="C157" s="2590"/>
      <c r="D157" s="19"/>
      <c r="F157" s="4442"/>
      <c r="G157" s="4442"/>
      <c r="H157" s="4442"/>
      <c r="I157" s="4442"/>
      <c r="J157" s="4655"/>
      <c r="K157" s="4654"/>
      <c r="L157" s="4442"/>
      <c r="M157" s="4659"/>
      <c r="N157" s="25"/>
      <c r="O157" s="1279"/>
      <c r="P157" s="1278"/>
    </row>
    <row r="158" spans="1:19">
      <c r="B158" s="4660"/>
      <c r="C158" s="4661"/>
      <c r="D158" s="4661"/>
      <c r="E158" s="4662"/>
      <c r="F158" s="4660"/>
      <c r="G158" s="4662"/>
      <c r="H158" s="4660"/>
      <c r="I158" s="4662"/>
      <c r="J158" s="4663"/>
      <c r="K158" s="4664"/>
      <c r="L158" s="4663"/>
      <c r="M158" s="4664"/>
      <c r="N158" s="4618"/>
      <c r="O158" s="4619"/>
    </row>
    <row r="159" spans="1:19">
      <c r="B159" s="4620"/>
      <c r="C159" s="4621"/>
      <c r="D159" s="4621"/>
      <c r="E159" s="4622"/>
      <c r="F159" s="4620"/>
      <c r="G159" s="4622"/>
      <c r="H159" s="4620"/>
      <c r="I159" s="4622"/>
      <c r="J159" s="4623"/>
      <c r="K159" s="4624"/>
      <c r="L159" s="4623"/>
      <c r="M159" s="4624"/>
      <c r="N159" s="4608"/>
      <c r="O159" s="4609"/>
    </row>
    <row r="160" spans="1:19">
      <c r="B160" s="4620"/>
      <c r="C160" s="4621"/>
      <c r="D160" s="4621"/>
      <c r="E160" s="4622"/>
      <c r="F160" s="4620"/>
      <c r="G160" s="4622"/>
      <c r="H160" s="4620"/>
      <c r="I160" s="4622"/>
      <c r="J160" s="4623"/>
      <c r="K160" s="4624"/>
      <c r="L160" s="4623"/>
      <c r="M160" s="4624"/>
      <c r="N160" s="4608"/>
      <c r="O160" s="4609"/>
    </row>
    <row r="161" spans="1:26">
      <c r="B161" s="4620"/>
      <c r="C161" s="4621"/>
      <c r="D161" s="4621"/>
      <c r="E161" s="4622"/>
      <c r="F161" s="4620"/>
      <c r="G161" s="4622"/>
      <c r="H161" s="4620"/>
      <c r="I161" s="4622"/>
      <c r="J161" s="4623"/>
      <c r="K161" s="4624"/>
      <c r="L161" s="4623"/>
      <c r="M161" s="4624"/>
      <c r="N161" s="4608"/>
      <c r="O161" s="4609"/>
    </row>
    <row r="162" spans="1:26">
      <c r="B162" s="4620"/>
      <c r="C162" s="4621"/>
      <c r="D162" s="4621"/>
      <c r="E162" s="4622"/>
      <c r="F162" s="4620"/>
      <c r="G162" s="4622"/>
      <c r="H162" s="4620"/>
      <c r="I162" s="4622"/>
      <c r="J162" s="4623"/>
      <c r="K162" s="4624"/>
      <c r="L162" s="4623"/>
      <c r="M162" s="4624"/>
      <c r="N162" s="4608"/>
      <c r="O162" s="4609"/>
    </row>
    <row r="163" spans="1:26">
      <c r="B163" s="4611"/>
      <c r="C163" s="4612"/>
      <c r="D163" s="4612"/>
      <c r="E163" s="4613"/>
      <c r="F163" s="4611"/>
      <c r="G163" s="4613"/>
      <c r="H163" s="4611"/>
      <c r="I163" s="4613"/>
      <c r="J163" s="4614"/>
      <c r="K163" s="4615"/>
      <c r="L163" s="4614"/>
      <c r="M163" s="4615"/>
      <c r="N163" s="4616"/>
      <c r="O163" s="4617"/>
    </row>
    <row r="164" spans="1:26" s="19" customFormat="1" ht="10.5" customHeight="1" thickBot="1">
      <c r="A164" s="43"/>
      <c r="B164" s="672" t="s">
        <v>6825</v>
      </c>
      <c r="C164" s="43"/>
      <c r="D164" s="48"/>
      <c r="E164" s="48"/>
      <c r="F164" s="48"/>
      <c r="G164" s="48"/>
      <c r="H164" s="13"/>
      <c r="I164" s="13"/>
      <c r="J164" s="13"/>
      <c r="K164" s="13"/>
      <c r="M164" s="32"/>
      <c r="N164" s="58"/>
      <c r="O164" s="2"/>
      <c r="P164" s="9"/>
    </row>
    <row r="165" spans="1:26" s="19" customFormat="1" ht="21.75" customHeight="1" thickTop="1" thickBot="1">
      <c r="A165" s="4682"/>
      <c r="B165" s="4683"/>
      <c r="C165" s="4683"/>
      <c r="D165" s="4683"/>
      <c r="E165" s="4683"/>
      <c r="F165" s="4683"/>
      <c r="G165" s="4683"/>
      <c r="H165" s="4683"/>
      <c r="I165" s="4683"/>
      <c r="J165" s="4683"/>
      <c r="K165" s="4683"/>
      <c r="L165" s="4683"/>
      <c r="M165" s="4683"/>
      <c r="N165" s="4683"/>
      <c r="O165" s="4683"/>
      <c r="P165" s="4684"/>
      <c r="Q165" s="249" t="s">
        <v>6410</v>
      </c>
    </row>
    <row r="166" spans="1:26" s="19" customFormat="1" ht="10.5" customHeight="1" thickTop="1">
      <c r="A166" s="43"/>
      <c r="B166" s="37" t="s">
        <v>1452</v>
      </c>
      <c r="C166" s="723"/>
      <c r="D166" s="37"/>
      <c r="E166" s="46"/>
      <c r="F166" s="2586"/>
      <c r="G166" s="2586"/>
      <c r="H166" s="2586"/>
      <c r="I166" s="2586"/>
      <c r="J166" s="2586"/>
      <c r="K166" s="2586"/>
      <c r="L166" s="2586"/>
      <c r="M166" s="2586"/>
      <c r="N166" s="2401"/>
      <c r="O166" s="31"/>
      <c r="P166" s="2542"/>
    </row>
    <row r="167" spans="1:26" s="19" customFormat="1" ht="11.25" customHeight="1">
      <c r="A167" s="4386"/>
      <c r="B167" s="4387"/>
      <c r="C167" s="4387"/>
      <c r="D167" s="4387"/>
      <c r="E167" s="4387"/>
      <c r="F167" s="4387"/>
      <c r="G167" s="4387"/>
      <c r="H167" s="4387"/>
      <c r="I167" s="4387"/>
      <c r="J167" s="4387"/>
      <c r="K167" s="4387"/>
      <c r="L167" s="4387"/>
      <c r="M167" s="4387"/>
      <c r="N167" s="4387"/>
      <c r="O167" s="4387"/>
      <c r="P167" s="4388"/>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1481</v>
      </c>
      <c r="B169" s="50" t="s">
        <v>1880</v>
      </c>
      <c r="D169" s="21"/>
      <c r="E169" s="21"/>
      <c r="L169" s="1111" t="str">
        <f>IF(AND(O169&gt;0,O171="",O184=""),"Indicate subtotal score(s) in A or B below!","")</f>
        <v/>
      </c>
      <c r="M169" s="2542">
        <v>7</v>
      </c>
      <c r="N169" s="32"/>
      <c r="O169" s="1115">
        <f>O171+O184</f>
        <v>0</v>
      </c>
      <c r="P169" s="1115">
        <f>P171+P184</f>
        <v>0</v>
      </c>
      <c r="Q169" s="53" t="s">
        <v>1744</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185</v>
      </c>
      <c r="B171" s="92" t="s">
        <v>1889</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185</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200</v>
      </c>
      <c r="C172" s="13" t="s">
        <v>6868</v>
      </c>
      <c r="D172" s="92"/>
      <c r="E172" s="92"/>
      <c r="F172" s="92"/>
      <c r="G172" s="92"/>
      <c r="H172" s="92"/>
      <c r="I172" s="92"/>
      <c r="J172" s="92"/>
      <c r="K172" s="92"/>
      <c r="L172" s="92"/>
      <c r="M172" s="2525">
        <v>2</v>
      </c>
      <c r="N172" s="84" t="s">
        <v>1510</v>
      </c>
      <c r="O172" s="2972"/>
      <c r="P172" s="2973"/>
      <c r="Q172" s="839" t="str">
        <f>IF(OR($O172=$M172,$O172=0,$O172=""),"","*CHECK!*")</f>
        <v/>
      </c>
      <c r="R172" s="585" t="s">
        <v>6813</v>
      </c>
      <c r="S172" s="1092"/>
      <c r="T172" s="1092"/>
      <c r="U172" s="1092"/>
    </row>
    <row r="173" spans="1:26" s="218" customFormat="1" ht="12" customHeight="1">
      <c r="B173" s="84" t="s">
        <v>6477</v>
      </c>
      <c r="C173" s="4385" t="s">
        <v>6869</v>
      </c>
      <c r="D173" s="4385"/>
      <c r="E173" s="4385"/>
      <c r="F173" s="4385"/>
      <c r="G173" s="4385"/>
      <c r="H173" s="4385"/>
      <c r="I173" s="4385"/>
      <c r="J173" s="4385"/>
      <c r="K173" s="4385"/>
      <c r="L173" s="84"/>
      <c r="M173" s="4686" t="s">
        <v>6870</v>
      </c>
      <c r="N173" s="4686"/>
      <c r="O173" s="4686"/>
      <c r="P173" s="4686"/>
      <c r="S173" s="1092"/>
      <c r="T173" s="1092"/>
      <c r="U173" s="1092"/>
      <c r="V173" s="229"/>
      <c r="W173" s="229"/>
      <c r="X173" s="229"/>
      <c r="Y173" s="229"/>
      <c r="Z173" s="229"/>
    </row>
    <row r="174" spans="1:26" s="19" customFormat="1" ht="12.75" customHeight="1">
      <c r="A174" s="207"/>
      <c r="B174" s="28"/>
      <c r="C174" s="4385"/>
      <c r="D174" s="4385"/>
      <c r="E174" s="4385"/>
      <c r="F174" s="4385"/>
      <c r="G174" s="4385"/>
      <c r="H174" s="4385"/>
      <c r="I174" s="4385"/>
      <c r="J174" s="4385"/>
      <c r="K174" s="4385"/>
      <c r="L174" s="84" t="s">
        <v>6477</v>
      </c>
      <c r="M174" s="4675" t="s">
        <v>6871</v>
      </c>
      <c r="N174" s="4676"/>
      <c r="O174" s="4676"/>
      <c r="P174" s="4677"/>
      <c r="S174" s="1092"/>
      <c r="T174" s="1092"/>
      <c r="U174" s="1092"/>
    </row>
    <row r="175" spans="1:26" s="11" customFormat="1" ht="12.75" customHeight="1">
      <c r="B175" s="28" t="s">
        <v>6479</v>
      </c>
      <c r="C175" s="13" t="s">
        <v>6872</v>
      </c>
      <c r="D175" s="13"/>
      <c r="E175" s="13"/>
      <c r="F175" s="13"/>
      <c r="G175" s="13"/>
      <c r="H175" s="13"/>
      <c r="L175" s="28" t="s">
        <v>6479</v>
      </c>
      <c r="M175" s="4672" t="s">
        <v>6871</v>
      </c>
      <c r="N175" s="4673"/>
      <c r="O175" s="4673"/>
      <c r="P175" s="4674"/>
      <c r="S175" s="1092"/>
      <c r="T175" s="1092"/>
      <c r="U175" s="1092"/>
      <c r="V175" s="43"/>
      <c r="W175" s="43"/>
      <c r="X175" s="43"/>
      <c r="Y175" s="43"/>
      <c r="Z175" s="43"/>
    </row>
    <row r="176" spans="1:26" s="11" customFormat="1" ht="12.75" customHeight="1">
      <c r="B176" s="28" t="s">
        <v>6685</v>
      </c>
      <c r="C176" s="13" t="s">
        <v>6873</v>
      </c>
      <c r="D176" s="13"/>
      <c r="E176" s="13"/>
      <c r="F176" s="13"/>
      <c r="G176" s="13"/>
      <c r="H176" s="13"/>
      <c r="L176" s="28" t="s">
        <v>6685</v>
      </c>
      <c r="M176" s="4672" t="s">
        <v>6871</v>
      </c>
      <c r="N176" s="4673"/>
      <c r="O176" s="4673"/>
      <c r="P176" s="4674"/>
      <c r="Q176" s="899">
        <f>IF(K176="Yes",1,0)</f>
        <v>0</v>
      </c>
      <c r="S176" s="1092"/>
      <c r="T176" s="1092"/>
      <c r="U176" s="1092"/>
      <c r="V176" s="899" t="e">
        <f>IF(#REF!="Yes",1,0)</f>
        <v>#REF!</v>
      </c>
      <c r="W176" s="43"/>
      <c r="X176" s="43"/>
      <c r="Y176" s="43"/>
      <c r="Z176" s="43"/>
    </row>
    <row r="177" spans="1:26" s="11" customFormat="1" ht="12.75" customHeight="1">
      <c r="A177" s="28"/>
      <c r="B177" s="28" t="s">
        <v>6874</v>
      </c>
      <c r="C177" s="13" t="s">
        <v>6875</v>
      </c>
      <c r="D177" s="13"/>
      <c r="E177" s="13"/>
      <c r="F177" s="13"/>
      <c r="G177" s="13"/>
      <c r="L177" s="28" t="s">
        <v>6874</v>
      </c>
      <c r="M177" s="4723" t="s">
        <v>6871</v>
      </c>
      <c r="N177" s="4724"/>
      <c r="O177" s="4724"/>
      <c r="P177" s="4725"/>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208</v>
      </c>
      <c r="C179" s="56" t="s">
        <v>6876</v>
      </c>
      <c r="D179" s="73"/>
      <c r="E179" s="73"/>
      <c r="F179" s="73"/>
      <c r="G179" s="73"/>
      <c r="H179" s="73"/>
      <c r="I179" s="73"/>
      <c r="K179" s="670"/>
      <c r="L179" s="670"/>
      <c r="R179" s="1092"/>
      <c r="S179" s="1092"/>
      <c r="T179" s="1092"/>
      <c r="U179" s="1092"/>
    </row>
    <row r="180" spans="1:26">
      <c r="A180" s="283"/>
      <c r="B180" s="84" t="s">
        <v>6477</v>
      </c>
      <c r="C180" s="4385" t="s">
        <v>6877</v>
      </c>
      <c r="D180" s="4385"/>
      <c r="E180" s="4385"/>
      <c r="F180" s="4385"/>
      <c r="G180" s="4385"/>
      <c r="H180" s="4385"/>
      <c r="I180" s="4385"/>
      <c r="J180" s="4385"/>
      <c r="K180" s="4385"/>
      <c r="L180" s="4385"/>
      <c r="M180" s="1260">
        <v>1</v>
      </c>
      <c r="N180" s="84" t="s">
        <v>6878</v>
      </c>
      <c r="O180" s="2974"/>
      <c r="P180" s="2975"/>
      <c r="Q180" s="839" t="str">
        <f>IF(OR($O180=$M180,$O180=0,$O180=""),"","*CHECK!*")</f>
        <v/>
      </c>
      <c r="R180" s="585" t="s">
        <v>6813</v>
      </c>
    </row>
    <row r="181" spans="1:26" ht="36.75" customHeight="1">
      <c r="A181" s="283"/>
      <c r="B181" s="84" t="s">
        <v>6479</v>
      </c>
      <c r="C181" s="4385" t="s">
        <v>6879</v>
      </c>
      <c r="D181" s="4385"/>
      <c r="E181" s="4385"/>
      <c r="F181" s="4385"/>
      <c r="G181" s="4385"/>
      <c r="H181" s="4385"/>
      <c r="I181" s="4385"/>
      <c r="J181" s="4385"/>
      <c r="K181" s="4385"/>
      <c r="L181" s="4385"/>
      <c r="M181" s="1260">
        <v>1</v>
      </c>
      <c r="N181" s="84" t="s">
        <v>6880</v>
      </c>
      <c r="O181" s="1112"/>
      <c r="P181" s="1113"/>
      <c r="Q181" s="839" t="str">
        <f>IF(OR($O181=$M181,$O181=0,$O181=""),"","*CHECK!*")</f>
        <v/>
      </c>
      <c r="R181" s="585" t="s">
        <v>6813</v>
      </c>
    </row>
    <row r="182" spans="1:26" ht="12" customHeight="1">
      <c r="A182" s="283"/>
      <c r="B182" s="246" t="s">
        <v>6685</v>
      </c>
      <c r="C182" s="25" t="s">
        <v>6881</v>
      </c>
      <c r="D182" s="65"/>
      <c r="E182" s="65"/>
      <c r="F182" s="65"/>
      <c r="G182" s="65"/>
      <c r="H182" s="65"/>
      <c r="I182" s="65"/>
      <c r="J182" s="65"/>
      <c r="K182" s="65"/>
      <c r="L182" s="65"/>
      <c r="M182" s="2525">
        <v>1</v>
      </c>
      <c r="N182" s="28" t="s">
        <v>6882</v>
      </c>
      <c r="O182" s="1099"/>
      <c r="P182" s="1101"/>
      <c r="Q182" s="839" t="str">
        <f>IF(OR($O182=$M182,$O182=0,$O182=""),"","*CHECK!*")</f>
        <v/>
      </c>
      <c r="R182" s="585" t="s">
        <v>6813</v>
      </c>
    </row>
    <row r="183" spans="1:26" ht="4.5" customHeight="1">
      <c r="A183" s="283"/>
      <c r="B183" s="263"/>
      <c r="C183" s="73"/>
      <c r="D183" s="73"/>
      <c r="E183" s="73"/>
      <c r="F183" s="73"/>
      <c r="G183" s="73"/>
      <c r="H183" s="73"/>
      <c r="M183" s="834"/>
      <c r="N183"/>
      <c r="O183"/>
      <c r="P183"/>
      <c r="R183" s="77"/>
    </row>
    <row r="184" spans="1:26" ht="12.75" customHeight="1">
      <c r="A184" s="72" t="s">
        <v>197</v>
      </c>
      <c r="B184" s="92" t="s">
        <v>1906</v>
      </c>
      <c r="D184" s="11"/>
      <c r="F184" s="820"/>
      <c r="K184" s="657"/>
      <c r="L184" s="209" t="str">
        <f>IF(OR($O184=$M184,$O184=0,$O184=1,$O184=""),"","* * Check Score! * *")</f>
        <v/>
      </c>
      <c r="M184" s="2525">
        <v>2</v>
      </c>
      <c r="N184" s="28" t="s">
        <v>197</v>
      </c>
      <c r="O184" s="2976"/>
      <c r="P184" s="2977"/>
      <c r="Q184" s="586" t="str">
        <f>IF(OR($O184=$M184,$O184=0,$O184=""),"","*CHECK!*")</f>
        <v/>
      </c>
      <c r="R184" s="585" t="s">
        <v>6813</v>
      </c>
    </row>
    <row r="185" spans="1:26" s="42" customFormat="1" ht="10.5" customHeight="1" thickBot="1">
      <c r="A185" s="43"/>
      <c r="B185" s="672" t="s">
        <v>6825</v>
      </c>
      <c r="C185" s="43"/>
      <c r="D185" s="48"/>
      <c r="E185" s="48"/>
      <c r="F185" s="48"/>
      <c r="G185" s="48"/>
      <c r="H185" s="13"/>
      <c r="I185" s="13"/>
      <c r="J185" s="13"/>
      <c r="K185" s="13"/>
      <c r="M185" s="32"/>
      <c r="N185" s="32"/>
      <c r="O185" s="2"/>
      <c r="P185" s="2542"/>
    </row>
    <row r="186" spans="1:26" s="19" customFormat="1" ht="21.75" customHeight="1" thickTop="1" thickBot="1">
      <c r="A186" s="4682"/>
      <c r="B186" s="4683"/>
      <c r="C186" s="4683"/>
      <c r="D186" s="4683"/>
      <c r="E186" s="4683"/>
      <c r="F186" s="4683"/>
      <c r="G186" s="4683"/>
      <c r="H186" s="4683"/>
      <c r="I186" s="4683"/>
      <c r="J186" s="4683"/>
      <c r="K186" s="4683"/>
      <c r="L186" s="4683"/>
      <c r="M186" s="4683"/>
      <c r="N186" s="4683"/>
      <c r="O186" s="4683"/>
      <c r="P186" s="4684"/>
      <c r="Q186" s="249" t="s">
        <v>6410</v>
      </c>
    </row>
    <row r="187" spans="1:26" s="42" customFormat="1" ht="11.85" customHeight="1" thickTop="1">
      <c r="A187" s="43"/>
      <c r="B187" s="45" t="s">
        <v>1452</v>
      </c>
      <c r="C187" s="43"/>
      <c r="D187" s="45"/>
      <c r="E187" s="2590"/>
      <c r="F187" s="2590"/>
      <c r="G187" s="2590"/>
      <c r="H187" s="2590"/>
      <c r="I187" s="2590"/>
      <c r="J187" s="2590"/>
      <c r="K187" s="2590"/>
      <c r="L187" s="2590"/>
      <c r="M187" s="2590"/>
      <c r="N187" s="2402"/>
      <c r="O187" s="493"/>
      <c r="P187" s="2542"/>
      <c r="Q187" s="19"/>
    </row>
    <row r="188" spans="1:26" s="19" customFormat="1" ht="11.25" customHeight="1">
      <c r="A188" s="4386"/>
      <c r="B188" s="4387"/>
      <c r="C188" s="4387"/>
      <c r="D188" s="4387"/>
      <c r="E188" s="4387"/>
      <c r="F188" s="4387"/>
      <c r="G188" s="4387"/>
      <c r="H188" s="4387"/>
      <c r="I188" s="4387"/>
      <c r="J188" s="4387"/>
      <c r="K188" s="4387"/>
      <c r="L188" s="4387"/>
      <c r="M188" s="4387"/>
      <c r="N188" s="4387"/>
      <c r="O188" s="4387"/>
      <c r="P188" s="4388"/>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1485</v>
      </c>
      <c r="B190" s="50" t="s">
        <v>6883</v>
      </c>
      <c r="C190" s="2586"/>
      <c r="D190" s="2586"/>
      <c r="E190" s="2586"/>
      <c r="F190" s="2586"/>
      <c r="G190" s="2586"/>
      <c r="H190" s="2586"/>
      <c r="I190" s="2586"/>
      <c r="J190" s="2586"/>
      <c r="K190" s="2586"/>
      <c r="L190" s="2586"/>
      <c r="M190" s="2542">
        <v>3</v>
      </c>
      <c r="N190" s="2401"/>
      <c r="O190" s="31"/>
      <c r="P190" s="642"/>
      <c r="Q190" s="53" t="s">
        <v>1744</v>
      </c>
      <c r="R190" s="585" t="s">
        <v>6884</v>
      </c>
    </row>
    <row r="191" spans="1:26" s="19" customFormat="1" ht="13.5" customHeight="1">
      <c r="A191" s="79"/>
      <c r="B191" s="48" t="s">
        <v>6885</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6886</v>
      </c>
      <c r="C192" s="2586"/>
      <c r="D192" s="2586"/>
      <c r="E192" s="2586"/>
      <c r="F192" s="2586"/>
      <c r="G192" s="2586"/>
      <c r="H192" s="2586"/>
      <c r="L192" s="821"/>
      <c r="M192" s="2542"/>
      <c r="N192" s="2542"/>
      <c r="O192" s="2542"/>
      <c r="P192" s="2542"/>
      <c r="Q192" s="53"/>
      <c r="R192" s="1093"/>
      <c r="S192" s="1093"/>
      <c r="T192" s="1093"/>
      <c r="U192" s="1093"/>
    </row>
    <row r="193" spans="1:24" ht="11.85" customHeight="1">
      <c r="A193" s="72" t="s">
        <v>218</v>
      </c>
      <c r="B193" s="92" t="s">
        <v>6887</v>
      </c>
      <c r="D193" s="11"/>
      <c r="G193" s="263"/>
      <c r="N193"/>
      <c r="O193" s="2596"/>
      <c r="P193" s="2596"/>
      <c r="Q193" s="150"/>
    </row>
    <row r="194" spans="1:24" s="902" customFormat="1" ht="12.75" customHeight="1">
      <c r="B194" s="244" t="s">
        <v>200</v>
      </c>
      <c r="C194" s="4385" t="s">
        <v>6888</v>
      </c>
      <c r="D194" s="4385"/>
      <c r="E194" s="4385"/>
      <c r="F194" s="4385"/>
      <c r="G194" s="4385"/>
      <c r="H194" s="4385"/>
      <c r="I194" s="4385"/>
      <c r="J194" s="4385"/>
      <c r="K194" s="4385"/>
      <c r="L194" s="4385"/>
      <c r="M194" s="643" t="s">
        <v>218</v>
      </c>
      <c r="N194" s="217" t="s">
        <v>200</v>
      </c>
      <c r="O194" s="2913"/>
      <c r="P194" s="2914"/>
      <c r="Q194" s="678"/>
      <c r="V194" s="1070"/>
      <c r="W194" s="1070"/>
    </row>
    <row r="195" spans="1:24" s="11" customFormat="1" ht="12.75" customHeight="1">
      <c r="A195" s="283"/>
      <c r="B195" s="244" t="s">
        <v>208</v>
      </c>
      <c r="C195" s="16" t="s">
        <v>6889</v>
      </c>
      <c r="D195" s="68"/>
      <c r="E195" s="68"/>
      <c r="F195" s="68"/>
      <c r="G195" s="68"/>
      <c r="H195" s="68"/>
      <c r="I195" s="68"/>
      <c r="J195" s="68"/>
      <c r="K195" s="68"/>
      <c r="L195" s="68"/>
      <c r="M195" s="68"/>
      <c r="N195" s="217" t="s">
        <v>208</v>
      </c>
      <c r="O195" s="202"/>
      <c r="P195" s="299"/>
      <c r="Q195" s="588"/>
      <c r="V195" s="673"/>
      <c r="W195" s="673"/>
    </row>
    <row r="196" spans="1:24" s="11" customFormat="1" ht="22.5" customHeight="1">
      <c r="A196" s="283"/>
      <c r="B196" s="244" t="s">
        <v>212</v>
      </c>
      <c r="C196" s="4385" t="s">
        <v>6890</v>
      </c>
      <c r="D196" s="4385"/>
      <c r="E196" s="4385"/>
      <c r="F196" s="4385"/>
      <c r="G196" s="4385"/>
      <c r="H196" s="4385"/>
      <c r="I196" s="4385"/>
      <c r="J196" s="4385"/>
      <c r="K196" s="4385"/>
      <c r="L196" s="4385"/>
      <c r="M196" s="329"/>
      <c r="N196" s="217" t="s">
        <v>212</v>
      </c>
      <c r="O196" s="2595"/>
      <c r="P196" s="2593"/>
      <c r="Q196" s="588"/>
      <c r="V196" s="673"/>
      <c r="W196" s="673"/>
    </row>
    <row r="197" spans="1:24" ht="11.85" customHeight="1">
      <c r="A197" s="72" t="s">
        <v>220</v>
      </c>
      <c r="B197" s="92" t="s">
        <v>6891</v>
      </c>
      <c r="D197" s="11"/>
      <c r="G197" s="263"/>
      <c r="N197"/>
      <c r="O197" s="2596"/>
      <c r="P197" s="2596"/>
      <c r="Q197" s="150"/>
    </row>
    <row r="198" spans="1:24" s="902" customFormat="1" ht="23.25" customHeight="1">
      <c r="B198" s="244" t="s">
        <v>200</v>
      </c>
      <c r="C198" s="4385" t="s">
        <v>6892</v>
      </c>
      <c r="D198" s="4385"/>
      <c r="E198" s="4385"/>
      <c r="F198" s="4385"/>
      <c r="G198" s="4385"/>
      <c r="H198" s="4385"/>
      <c r="I198" s="4385"/>
      <c r="J198" s="4385"/>
      <c r="K198" s="4385"/>
      <c r="L198" s="4385"/>
      <c r="M198" s="643" t="s">
        <v>220</v>
      </c>
      <c r="N198" s="217" t="s">
        <v>200</v>
      </c>
      <c r="O198" s="2913"/>
      <c r="P198" s="2914"/>
      <c r="Q198" s="678"/>
      <c r="V198" s="1070"/>
      <c r="W198" s="1070"/>
    </row>
    <row r="199" spans="1:24" s="11" customFormat="1" ht="23.25" customHeight="1">
      <c r="A199" s="283"/>
      <c r="B199" s="244" t="s">
        <v>208</v>
      </c>
      <c r="C199" s="4385" t="s">
        <v>6893</v>
      </c>
      <c r="D199" s="4385"/>
      <c r="E199" s="4385"/>
      <c r="F199" s="4385"/>
      <c r="G199" s="4385"/>
      <c r="H199" s="4385"/>
      <c r="I199" s="4385"/>
      <c r="J199" s="4385"/>
      <c r="K199" s="4385"/>
      <c r="L199" s="4385"/>
      <c r="M199" s="68"/>
      <c r="N199" s="217" t="s">
        <v>208</v>
      </c>
      <c r="O199" s="2595"/>
      <c r="P199" s="2593"/>
      <c r="Q199" s="588"/>
      <c r="V199" s="673"/>
      <c r="W199" s="673"/>
    </row>
    <row r="200" spans="1:24" s="19" customFormat="1" ht="12" customHeight="1" thickBot="1">
      <c r="A200" s="43"/>
      <c r="B200" s="672" t="s">
        <v>6825</v>
      </c>
      <c r="C200" s="43"/>
      <c r="D200" s="48"/>
      <c r="E200" s="48"/>
      <c r="F200" s="48"/>
      <c r="G200" s="48"/>
      <c r="H200" s="13"/>
      <c r="I200" s="13"/>
      <c r="M200" s="32"/>
      <c r="N200" s="58"/>
      <c r="O200" s="2"/>
      <c r="P200" s="9"/>
    </row>
    <row r="201" spans="1:24" s="19" customFormat="1" ht="45.6" customHeight="1" thickTop="1" thickBot="1">
      <c r="A201" s="4741"/>
      <c r="B201" s="4742"/>
      <c r="C201" s="4742"/>
      <c r="D201" s="4742"/>
      <c r="E201" s="4742"/>
      <c r="F201" s="4742"/>
      <c r="G201" s="4742"/>
      <c r="H201" s="4742"/>
      <c r="I201" s="4742"/>
      <c r="J201" s="4742"/>
      <c r="K201" s="4742"/>
      <c r="L201" s="4742"/>
      <c r="M201" s="4742"/>
      <c r="N201" s="4742"/>
      <c r="O201" s="4742"/>
      <c r="P201" s="4743"/>
      <c r="Q201" s="249" t="s">
        <v>6410</v>
      </c>
    </row>
    <row r="202" spans="1:24" s="19" customFormat="1" ht="10.5" customHeight="1" thickTop="1">
      <c r="A202" s="43"/>
      <c r="B202" s="37" t="s">
        <v>1452</v>
      </c>
      <c r="C202" s="43"/>
      <c r="D202" s="37"/>
      <c r="E202" s="2586"/>
      <c r="F202" s="2586"/>
      <c r="G202" s="2586"/>
      <c r="H202" s="2586"/>
      <c r="I202" s="2586"/>
      <c r="J202" s="2586"/>
      <c r="K202" s="2586"/>
      <c r="L202" s="2586"/>
      <c r="M202" s="2586"/>
      <c r="N202" s="2401"/>
      <c r="O202" s="31"/>
      <c r="P202" s="2542"/>
    </row>
    <row r="203" spans="1:24" s="19" customFormat="1" ht="22.35" customHeight="1">
      <c r="A203" s="4632"/>
      <c r="B203" s="4633"/>
      <c r="C203" s="4633"/>
      <c r="D203" s="4633"/>
      <c r="E203" s="4633"/>
      <c r="F203" s="4633"/>
      <c r="G203" s="4633"/>
      <c r="H203" s="4633"/>
      <c r="I203" s="4633"/>
      <c r="J203" s="4633"/>
      <c r="K203" s="4633"/>
      <c r="L203" s="4633"/>
      <c r="M203" s="4633"/>
      <c r="N203" s="4633"/>
      <c r="O203" s="4633"/>
      <c r="P203" s="4634"/>
      <c r="Q203" s="248"/>
    </row>
    <row r="204" spans="1:24" ht="6.75" customHeight="1" thickBot="1">
      <c r="N204" s="58"/>
      <c r="V204" s="19"/>
      <c r="W204" s="19"/>
      <c r="X204" s="19"/>
    </row>
    <row r="205" spans="1:24" s="42" customFormat="1" ht="13.5" customHeight="1" thickBot="1">
      <c r="A205" s="79" t="s">
        <v>1487</v>
      </c>
      <c r="B205" s="50" t="s">
        <v>1908</v>
      </c>
      <c r="D205" s="21"/>
      <c r="E205" s="21"/>
      <c r="L205" s="283" t="str">
        <f>IF(AND(O205&gt;0,NOT($M$55="New Supply")), "Ineligible to score in this section, not New Supply!","")</f>
        <v/>
      </c>
      <c r="M205" s="2542">
        <v>10</v>
      </c>
      <c r="N205" s="32"/>
      <c r="O205" s="630">
        <f>MIN($M$205,O207+O211)</f>
        <v>0</v>
      </c>
      <c r="P205" s="630">
        <f>MIN($M$205,P207+P211)</f>
        <v>0</v>
      </c>
      <c r="Q205" s="53" t="s">
        <v>1744</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185</v>
      </c>
      <c r="B207" s="92" t="s">
        <v>6894</v>
      </c>
      <c r="D207" s="21"/>
      <c r="E207" s="21"/>
      <c r="K207" s="900"/>
      <c r="M207" s="2525">
        <v>5</v>
      </c>
      <c r="N207" s="28" t="s">
        <v>185</v>
      </c>
      <c r="O207" s="2976"/>
      <c r="P207" s="2977"/>
      <c r="Q207" s="839" t="str">
        <f>IF(O207&lt;=M207,"","*CHECK!*")</f>
        <v/>
      </c>
      <c r="R207" s="585" t="s">
        <v>6813</v>
      </c>
      <c r="S207" s="1094"/>
      <c r="T207" s="1094"/>
      <c r="U207" s="1094"/>
    </row>
    <row r="208" spans="1:24" ht="12.75" customHeight="1">
      <c r="B208" s="1071"/>
      <c r="C208" s="13" t="s">
        <v>6895</v>
      </c>
      <c r="D208" s="42"/>
      <c r="E208" s="21"/>
      <c r="F208" s="21"/>
      <c r="G208" s="42"/>
      <c r="H208" s="42"/>
      <c r="I208" s="42"/>
      <c r="J208" s="4700" t="s">
        <v>1210</v>
      </c>
      <c r="K208" s="4701"/>
      <c r="L208" s="4702"/>
      <c r="M208" s="4703"/>
      <c r="N208" s="32"/>
      <c r="R208" s="53"/>
      <c r="S208" s="42"/>
    </row>
    <row r="209" spans="1:27" ht="12.75" customHeight="1">
      <c r="C209" s="500" t="s">
        <v>6896</v>
      </c>
      <c r="D209" s="25"/>
      <c r="J209" s="4762"/>
      <c r="K209" s="4763"/>
      <c r="L209" s="4763"/>
      <c r="M209" s="4764"/>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197</v>
      </c>
      <c r="B211" s="823" t="s">
        <v>6897</v>
      </c>
      <c r="C211" s="13"/>
      <c r="K211" s="28"/>
      <c r="L211" s="28"/>
      <c r="M211" s="2525">
        <v>5</v>
      </c>
      <c r="N211" s="28" t="s">
        <v>197</v>
      </c>
      <c r="O211" s="2976"/>
      <c r="P211" s="2977"/>
      <c r="Q211" s="839" t="str">
        <f>IF(O211&lt;=M211,"","*CHECK!*")</f>
        <v/>
      </c>
      <c r="R211" s="585" t="s">
        <v>6813</v>
      </c>
      <c r="S211" s="1094"/>
      <c r="T211" s="1094"/>
      <c r="U211" s="1094"/>
    </row>
    <row r="212" spans="1:27">
      <c r="C212" s="1100" t="s">
        <v>6898</v>
      </c>
      <c r="E212" s="4876" t="s">
        <v>6899</v>
      </c>
      <c r="F212" s="4876"/>
      <c r="G212" s="4876"/>
      <c r="H212" s="4876"/>
      <c r="I212" s="2612" t="s">
        <v>6900</v>
      </c>
      <c r="J212" s="4876" t="s">
        <v>6899</v>
      </c>
      <c r="K212" s="4876"/>
      <c r="L212" s="4876"/>
      <c r="M212" s="4876"/>
      <c r="N212"/>
      <c r="O212"/>
      <c r="P212"/>
    </row>
    <row r="213" spans="1:27" ht="13.5" customHeight="1">
      <c r="B213" s="287"/>
      <c r="C213" s="13" t="s">
        <v>6901</v>
      </c>
      <c r="E213" s="4877"/>
      <c r="F213" s="4878"/>
      <c r="G213" s="4878"/>
      <c r="H213" s="4879"/>
      <c r="I213" s="2978" t="s">
        <v>670</v>
      </c>
      <c r="J213" s="4759"/>
      <c r="K213" s="4760"/>
      <c r="L213" s="4760"/>
      <c r="M213" s="4761"/>
      <c r="N213"/>
      <c r="Q213" s="9"/>
      <c r="R213" s="9"/>
      <c r="S213" s="9"/>
      <c r="T213" s="9"/>
      <c r="U213" s="9"/>
      <c r="V213" s="9"/>
      <c r="W213" s="9"/>
      <c r="X213" s="9"/>
      <c r="Y213" s="9"/>
      <c r="Z213" s="9"/>
      <c r="AA213" s="1280"/>
    </row>
    <row r="214" spans="1:27" ht="13.5" customHeight="1">
      <c r="C214" s="13" t="s">
        <v>6902</v>
      </c>
      <c r="E214" s="4750"/>
      <c r="F214" s="4751"/>
      <c r="G214" s="4751"/>
      <c r="H214" s="4752"/>
      <c r="I214" s="1306"/>
      <c r="J214" s="4765"/>
      <c r="K214" s="4766"/>
      <c r="L214" s="4766"/>
      <c r="M214" s="4767"/>
      <c r="N214" s="839" t="str">
        <f>IF(P211&lt;=N211,"","*CHECK!*")</f>
        <v/>
      </c>
      <c r="Q214" s="9"/>
      <c r="R214" s="9"/>
      <c r="S214" s="9"/>
      <c r="T214" s="9"/>
      <c r="U214" s="9"/>
      <c r="V214" s="9"/>
      <c r="W214" s="9"/>
      <c r="X214" s="9"/>
      <c r="Y214" s="9"/>
      <c r="Z214" s="9"/>
      <c r="AA214" s="1280"/>
    </row>
    <row r="215" spans="1:27" ht="13.5" customHeight="1">
      <c r="B215" s="287"/>
      <c r="C215" s="13" t="s">
        <v>6903</v>
      </c>
      <c r="E215" s="4750"/>
      <c r="F215" s="4751"/>
      <c r="G215" s="4751"/>
      <c r="H215" s="4752"/>
      <c r="I215" s="1306"/>
      <c r="J215" s="4765"/>
      <c r="K215" s="4766"/>
      <c r="L215" s="4766"/>
      <c r="M215" s="4767"/>
      <c r="N215"/>
      <c r="Q215" s="9"/>
      <c r="R215" s="9"/>
      <c r="S215" s="9"/>
      <c r="T215" s="9"/>
      <c r="U215" s="9"/>
      <c r="V215" s="9"/>
      <c r="W215" s="9"/>
      <c r="X215" s="9"/>
      <c r="Y215" s="9"/>
      <c r="Z215" s="9"/>
      <c r="AA215" s="1280"/>
    </row>
    <row r="216" spans="1:27" ht="13.5" customHeight="1">
      <c r="B216" s="25"/>
      <c r="C216" s="13" t="s">
        <v>1921</v>
      </c>
      <c r="E216" s="4747"/>
      <c r="F216" s="4748"/>
      <c r="G216" s="4748"/>
      <c r="H216" s="4749"/>
      <c r="I216" s="1307"/>
      <c r="J216" s="4756"/>
      <c r="K216" s="4757"/>
      <c r="L216" s="4757"/>
      <c r="M216" s="4758"/>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6825</v>
      </c>
      <c r="C219" s="43"/>
      <c r="D219" s="48"/>
      <c r="E219" s="48"/>
      <c r="F219" s="48"/>
      <c r="G219" s="48"/>
      <c r="H219" s="13"/>
      <c r="I219" s="13"/>
      <c r="J219" s="13"/>
      <c r="K219" s="13"/>
      <c r="M219" s="32"/>
      <c r="N219" s="58"/>
      <c r="O219" s="2"/>
      <c r="P219" s="9"/>
    </row>
    <row r="220" spans="1:27" s="19" customFormat="1" ht="35.1" customHeight="1" thickTop="1" thickBot="1">
      <c r="A220" s="4682"/>
      <c r="B220" s="4683"/>
      <c r="C220" s="4683"/>
      <c r="D220" s="4683"/>
      <c r="E220" s="4683"/>
      <c r="F220" s="4683"/>
      <c r="G220" s="4683"/>
      <c r="H220" s="4683"/>
      <c r="I220" s="4683"/>
      <c r="J220" s="4683"/>
      <c r="K220" s="4683"/>
      <c r="L220" s="4683"/>
      <c r="M220" s="4683"/>
      <c r="N220" s="4683"/>
      <c r="O220" s="4683"/>
      <c r="P220" s="4684"/>
      <c r="Q220" s="249" t="s">
        <v>6410</v>
      </c>
    </row>
    <row r="221" spans="1:27" ht="2.25" customHeight="1" thickTop="1">
      <c r="A221" s="287"/>
      <c r="B221" s="499"/>
      <c r="C221" s="25"/>
      <c r="M221" s="32"/>
      <c r="N221" s="2607"/>
      <c r="O221" s="2542"/>
      <c r="P221" s="2542"/>
    </row>
    <row r="222" spans="1:27" s="19" customFormat="1" ht="10.5" customHeight="1">
      <c r="A222" s="43"/>
      <c r="B222" s="37" t="s">
        <v>1452</v>
      </c>
      <c r="C222" s="43"/>
      <c r="D222" s="37"/>
      <c r="E222" s="2586"/>
      <c r="F222" s="2586"/>
      <c r="G222" s="2586"/>
      <c r="H222" s="2586"/>
      <c r="I222" s="2586"/>
      <c r="J222" s="2586"/>
      <c r="K222" s="2586"/>
      <c r="L222" s="2586"/>
      <c r="M222" s="2586"/>
      <c r="N222" s="2401"/>
      <c r="O222" s="31"/>
      <c r="P222" s="2542"/>
    </row>
    <row r="223" spans="1:27" s="19" customFormat="1" ht="11.25" customHeight="1">
      <c r="A223" s="4632"/>
      <c r="B223" s="4633"/>
      <c r="C223" s="4633"/>
      <c r="D223" s="4633"/>
      <c r="E223" s="4633"/>
      <c r="F223" s="4633"/>
      <c r="G223" s="4633"/>
      <c r="H223" s="4633"/>
      <c r="I223" s="4633"/>
      <c r="J223" s="4633"/>
      <c r="K223" s="4633"/>
      <c r="L223" s="4633"/>
      <c r="M223" s="4633"/>
      <c r="N223" s="4633"/>
      <c r="O223" s="4633"/>
      <c r="P223" s="4634"/>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1489</v>
      </c>
      <c r="B225" s="80" t="s">
        <v>1951</v>
      </c>
      <c r="C225" s="25"/>
      <c r="G225" s="1087" t="s">
        <v>6904</v>
      </c>
      <c r="H225" s="1035" t="e">
        <f>IF(OR($M$34="9% Credit Competitive Round only", $M$34="9% Credit &amp; HOME"),"9%",IF(OR($M$34="4% Credit/TE Bond", $M$34="4% Credit/TE Bond &amp; HOME", $M$34="4% Credit/TE Bond &amp; HOME NOFA", $M$34="4% Credit &amp; NHTF", $M$34="4% Credit &amp; NHTF &amp; HOME"),"4%",""))</f>
        <v>#REF!</v>
      </c>
      <c r="J225" s="1087" t="s">
        <v>806</v>
      </c>
      <c r="K225" s="4738" t="str">
        <f>M55</f>
        <v>&lt;&lt; Select Activity Type &gt;&gt;</v>
      </c>
      <c r="L225" s="4739"/>
      <c r="M225" s="2542">
        <v>1</v>
      </c>
      <c r="N225" s="2607"/>
      <c r="O225" s="630">
        <f>IF(O227+O228&gt;$M$225,"Choose",MIN($M$225,SUM(O227:O228)))</f>
        <v>0</v>
      </c>
      <c r="P225" s="630">
        <f>IF(P227+P228&gt;$M$225,"Choose",MIN($M$225,SUM(P227:P228)))</f>
        <v>0</v>
      </c>
      <c r="Q225" s="53" t="s">
        <v>1744</v>
      </c>
      <c r="R225" s="629" t="str">
        <f>IF(AND(O225&gt;0,NOT($M$55="New Supply")), "Ineligible to score in this section, not New Supply!","")</f>
        <v/>
      </c>
    </row>
    <row r="226" spans="1:24" s="19" customFormat="1" ht="12" customHeight="1">
      <c r="A226" s="43"/>
      <c r="B226" s="1089" t="s">
        <v>6905</v>
      </c>
      <c r="D226" s="13"/>
      <c r="E226" s="13"/>
      <c r="F226" s="2542"/>
      <c r="G226" s="2596" t="s">
        <v>1953</v>
      </c>
      <c r="H226" s="2979" t="e">
        <f>IF(#REF!=0,0,#REF!/#REF!)</f>
        <v>#REF!</v>
      </c>
      <c r="J226" s="263" t="s">
        <v>6906</v>
      </c>
      <c r="K226" s="4754" t="e">
        <f>#REF!</f>
        <v>#REF!</v>
      </c>
      <c r="L226" s="4755"/>
      <c r="M226" s="2596"/>
      <c r="N226" s="2542"/>
      <c r="O226" s="9"/>
      <c r="P226" s="2"/>
    </row>
    <row r="227" spans="1:24" ht="12" customHeight="1">
      <c r="A227" s="501" t="s">
        <v>185</v>
      </c>
      <c r="B227" s="39" t="s">
        <v>6907</v>
      </c>
      <c r="C227" s="25"/>
      <c r="E227" s="146" t="s">
        <v>6908</v>
      </c>
      <c r="M227" s="2525">
        <v>1</v>
      </c>
      <c r="N227" s="28" t="s">
        <v>185</v>
      </c>
      <c r="O227" s="2980"/>
      <c r="P227" s="2981"/>
      <c r="Q227" s="586" t="str">
        <f>IF(OR($O227=$M227,$O227=0,$O227=""),"","*CHECK!*")</f>
        <v/>
      </c>
      <c r="R227" s="585" t="s">
        <v>6813</v>
      </c>
    </row>
    <row r="228" spans="1:24" ht="12" customHeight="1">
      <c r="A228" s="501" t="s">
        <v>197</v>
      </c>
      <c r="B228" s="39" t="s">
        <v>1833</v>
      </c>
      <c r="C228" s="25"/>
      <c r="E228" s="146" t="s">
        <v>6909</v>
      </c>
      <c r="M228" s="2607">
        <v>1</v>
      </c>
      <c r="N228" s="28" t="s">
        <v>197</v>
      </c>
      <c r="O228" s="293"/>
      <c r="P228" s="298"/>
      <c r="Q228" s="586" t="str">
        <f>IF(OR($O228=$M228,$O228=0,$O228=""),"","*CHECK!*")</f>
        <v/>
      </c>
      <c r="R228" s="585" t="s">
        <v>6813</v>
      </c>
    </row>
    <row r="229" spans="1:24" ht="2.25" customHeight="1">
      <c r="A229" s="287"/>
      <c r="B229" s="499"/>
      <c r="C229" s="25"/>
      <c r="M229" s="32"/>
      <c r="N229" s="2607"/>
      <c r="O229" s="2542"/>
      <c r="P229" s="2542"/>
    </row>
    <row r="230" spans="1:24" s="19" customFormat="1" ht="11.25" customHeight="1">
      <c r="A230" s="43"/>
      <c r="B230" s="37" t="s">
        <v>1452</v>
      </c>
      <c r="C230" s="43"/>
      <c r="D230" s="37"/>
      <c r="E230" s="2586"/>
      <c r="F230" s="2586"/>
      <c r="G230" s="2586"/>
      <c r="H230" s="2586"/>
      <c r="I230" s="2586"/>
      <c r="J230" s="2586"/>
      <c r="K230" s="2586"/>
      <c r="L230" s="2586"/>
      <c r="M230" s="2586"/>
      <c r="N230" s="2401"/>
      <c r="O230" s="31"/>
      <c r="P230" s="2542"/>
    </row>
    <row r="231" spans="1:24" s="19" customFormat="1" ht="11.25" customHeight="1">
      <c r="A231" s="4632"/>
      <c r="B231" s="4633"/>
      <c r="C231" s="4633"/>
      <c r="D231" s="4633"/>
      <c r="E231" s="4633"/>
      <c r="F231" s="4633"/>
      <c r="G231" s="4633"/>
      <c r="H231" s="4633"/>
      <c r="I231" s="4633"/>
      <c r="J231" s="4633"/>
      <c r="K231" s="4633"/>
      <c r="L231" s="4633"/>
      <c r="M231" s="4633"/>
      <c r="N231" s="4633"/>
      <c r="O231" s="4633"/>
      <c r="P231" s="4634"/>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1495</v>
      </c>
      <c r="B233" s="50" t="s">
        <v>1928</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1744</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185</v>
      </c>
      <c r="B235" s="644" t="s">
        <v>1929</v>
      </c>
      <c r="D235" s="265"/>
      <c r="E235" s="265"/>
      <c r="F235" s="265"/>
      <c r="G235" s="265"/>
      <c r="H235" s="265"/>
      <c r="L235" s="265"/>
      <c r="M235" s="4745" t="str">
        <f>IF(AND(O235="Yes",O236="Yes"),"Only one category can be selected!","")</f>
        <v/>
      </c>
      <c r="N235" s="28" t="s">
        <v>185</v>
      </c>
      <c r="O235" s="2898"/>
      <c r="P235" s="2899"/>
      <c r="Q235" s="591"/>
      <c r="R235" s="1094"/>
      <c r="S235" s="1094"/>
      <c r="T235" s="1094"/>
      <c r="U235" s="1094"/>
      <c r="V235" s="1094"/>
    </row>
    <row r="236" spans="1:24" ht="11.25" customHeight="1">
      <c r="A236" s="501" t="s">
        <v>197</v>
      </c>
      <c r="B236" s="644" t="s">
        <v>1930</v>
      </c>
      <c r="D236" s="265"/>
      <c r="L236" s="265"/>
      <c r="M236" s="4745"/>
      <c r="N236" s="28" t="s">
        <v>197</v>
      </c>
      <c r="O236" s="118"/>
      <c r="P236" s="300"/>
      <c r="Q236" s="591"/>
      <c r="R236" s="1094"/>
      <c r="S236" s="1094"/>
      <c r="T236" s="1094"/>
      <c r="U236" s="1094"/>
      <c r="V236" s="1094"/>
    </row>
    <row r="237" spans="1:24" s="19" customFormat="1" ht="10.5" customHeight="1" thickBot="1">
      <c r="A237" s="43"/>
      <c r="B237" s="672" t="s">
        <v>6825</v>
      </c>
      <c r="C237" s="43"/>
      <c r="D237" s="48"/>
      <c r="E237" s="48"/>
      <c r="F237" s="48"/>
      <c r="G237" s="48"/>
      <c r="H237" s="13"/>
      <c r="I237" s="13"/>
      <c r="J237" s="13"/>
      <c r="K237" s="13"/>
      <c r="M237" s="32"/>
      <c r="N237" s="58"/>
      <c r="O237" s="2"/>
      <c r="P237" s="9"/>
      <c r="R237" s="1094"/>
      <c r="S237" s="1094"/>
      <c r="T237" s="1094"/>
      <c r="U237" s="1094"/>
      <c r="V237" s="1094"/>
    </row>
    <row r="238" spans="1:24" s="19" customFormat="1" ht="35.1" customHeight="1" thickTop="1" thickBot="1">
      <c r="A238" s="4682"/>
      <c r="B238" s="4683"/>
      <c r="C238" s="4683"/>
      <c r="D238" s="4683"/>
      <c r="E238" s="4683"/>
      <c r="F238" s="4683"/>
      <c r="G238" s="4683"/>
      <c r="H238" s="4683"/>
      <c r="I238" s="4683"/>
      <c r="J238" s="4683"/>
      <c r="K238" s="4683"/>
      <c r="L238" s="4683"/>
      <c r="M238" s="4683"/>
      <c r="N238" s="4683"/>
      <c r="O238" s="4683"/>
      <c r="P238" s="4684"/>
      <c r="Q238" s="249" t="s">
        <v>6410</v>
      </c>
    </row>
    <row r="239" spans="1:24" s="19" customFormat="1" ht="10.5" customHeight="1" thickTop="1">
      <c r="A239" s="43"/>
      <c r="B239" s="37" t="s">
        <v>1452</v>
      </c>
      <c r="C239" s="43"/>
      <c r="D239" s="37"/>
      <c r="E239" s="2586"/>
      <c r="F239" s="2586"/>
      <c r="G239" s="2586"/>
      <c r="H239" s="2586"/>
      <c r="I239" s="2586"/>
      <c r="J239" s="2586"/>
      <c r="K239" s="2586"/>
      <c r="L239" s="2586"/>
      <c r="M239" s="2586"/>
      <c r="N239" s="2401"/>
      <c r="O239" s="31"/>
      <c r="P239" s="2542"/>
    </row>
    <row r="240" spans="1:24" s="19" customFormat="1" ht="11.25" customHeight="1">
      <c r="A240" s="4632"/>
      <c r="B240" s="4633"/>
      <c r="C240" s="4633"/>
      <c r="D240" s="4633"/>
      <c r="E240" s="4633"/>
      <c r="F240" s="4633"/>
      <c r="G240" s="4633"/>
      <c r="H240" s="4633"/>
      <c r="I240" s="4633"/>
      <c r="J240" s="4633"/>
      <c r="K240" s="4633"/>
      <c r="L240" s="4633"/>
      <c r="M240" s="4633"/>
      <c r="N240" s="4633"/>
      <c r="O240" s="4633"/>
      <c r="P240" s="4634"/>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1500</v>
      </c>
      <c r="B242" s="50" t="s">
        <v>1931</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1744</v>
      </c>
      <c r="R242" s="585" t="s">
        <v>6813</v>
      </c>
      <c r="S242" s="604"/>
      <c r="T242" s="604"/>
      <c r="U242" s="604"/>
      <c r="V242" s="604"/>
      <c r="W242" s="623"/>
      <c r="X242" s="623"/>
    </row>
    <row r="243" spans="1:27" s="47" customFormat="1" ht="11.25">
      <c r="A243" s="244"/>
      <c r="B243" s="73" t="s">
        <v>1932</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200</v>
      </c>
      <c r="C244" s="13" t="s">
        <v>1935</v>
      </c>
      <c r="D244" s="13"/>
      <c r="E244" s="16" t="s">
        <v>6910</v>
      </c>
      <c r="F244" s="13"/>
      <c r="G244" s="2982"/>
      <c r="H244" s="28" t="s">
        <v>45</v>
      </c>
      <c r="I244" s="4872"/>
      <c r="J244" s="4872"/>
      <c r="K244" s="13"/>
      <c r="L244" s="1117" t="s">
        <v>6911</v>
      </c>
      <c r="M244" s="4873"/>
      <c r="N244" s="4873"/>
      <c r="O244" s="13"/>
      <c r="P244" s="13"/>
      <c r="Q244" s="13"/>
      <c r="R244" s="13"/>
      <c r="S244" s="13"/>
      <c r="T244" s="13"/>
      <c r="U244" s="13"/>
      <c r="V244" s="13"/>
      <c r="W244" s="13"/>
      <c r="X244" s="13"/>
      <c r="Y244" s="13"/>
      <c r="Z244" s="13"/>
      <c r="AA244" s="13"/>
    </row>
    <row r="245" spans="1:27" s="15" customFormat="1" ht="11.25" customHeight="1">
      <c r="A245" s="208"/>
      <c r="B245" s="244" t="s">
        <v>208</v>
      </c>
      <c r="C245" s="13" t="s">
        <v>1936</v>
      </c>
      <c r="D245" s="13"/>
      <c r="E245" s="16" t="s">
        <v>6910</v>
      </c>
      <c r="F245" s="13"/>
      <c r="G245" s="1103"/>
      <c r="H245" s="28" t="s">
        <v>45</v>
      </c>
      <c r="I245" s="4746"/>
      <c r="J245" s="4746"/>
      <c r="K245" s="13"/>
      <c r="L245" s="1117" t="s">
        <v>6911</v>
      </c>
      <c r="M245" s="4753"/>
      <c r="N245" s="4753"/>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6825</v>
      </c>
      <c r="C247" s="43"/>
      <c r="D247" s="48"/>
      <c r="E247" s="48"/>
      <c r="F247" s="48"/>
      <c r="G247" s="48"/>
      <c r="H247" s="13"/>
      <c r="I247" s="13"/>
      <c r="J247" s="13"/>
      <c r="K247" s="13"/>
      <c r="M247" s="32"/>
      <c r="N247" s="58"/>
      <c r="O247" s="2"/>
      <c r="P247" s="9"/>
    </row>
    <row r="248" spans="1:27" s="19" customFormat="1" ht="21.75" customHeight="1" thickTop="1" thickBot="1">
      <c r="A248" s="4682"/>
      <c r="B248" s="4683"/>
      <c r="C248" s="4683"/>
      <c r="D248" s="4683"/>
      <c r="E248" s="4683"/>
      <c r="F248" s="4683"/>
      <c r="G248" s="4683"/>
      <c r="H248" s="4683"/>
      <c r="I248" s="4683"/>
      <c r="J248" s="4683"/>
      <c r="K248" s="4683"/>
      <c r="L248" s="4683"/>
      <c r="M248" s="4683"/>
      <c r="N248" s="4683"/>
      <c r="O248" s="4683"/>
      <c r="P248" s="4684"/>
      <c r="Q248" s="249" t="s">
        <v>6410</v>
      </c>
    </row>
    <row r="249" spans="1:27" s="19" customFormat="1" ht="10.5" customHeight="1" thickTop="1">
      <c r="B249" s="37" t="s">
        <v>1452</v>
      </c>
      <c r="C249" s="723"/>
      <c r="D249" s="37"/>
      <c r="E249" s="46"/>
      <c r="F249" s="2586"/>
      <c r="G249" s="2586"/>
      <c r="H249" s="2586"/>
      <c r="I249" s="2586"/>
      <c r="J249" s="2586"/>
      <c r="K249" s="2586"/>
      <c r="L249" s="2586"/>
      <c r="M249" s="2586"/>
      <c r="N249" s="2401"/>
      <c r="O249" s="31"/>
      <c r="P249" s="2542"/>
    </row>
    <row r="250" spans="1:27" s="19" customFormat="1" ht="11.25" customHeight="1">
      <c r="A250" s="4386"/>
      <c r="B250" s="4387"/>
      <c r="C250" s="4387"/>
      <c r="D250" s="4387"/>
      <c r="E250" s="4387"/>
      <c r="F250" s="4387"/>
      <c r="G250" s="4387"/>
      <c r="H250" s="4387"/>
      <c r="I250" s="4387"/>
      <c r="J250" s="4387"/>
      <c r="K250" s="4387"/>
      <c r="L250" s="4387"/>
      <c r="M250" s="4387"/>
      <c r="N250" s="4387"/>
      <c r="O250" s="4387"/>
      <c r="P250" s="4388"/>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1516</v>
      </c>
      <c r="B252" s="50" t="s">
        <v>1937</v>
      </c>
      <c r="D252" s="17"/>
      <c r="E252" s="25" t="s">
        <v>6912</v>
      </c>
      <c r="G252" s="27"/>
      <c r="L252" s="283" t="str">
        <f>IF(AND(O252&gt;0,NOT($M$55="New Supply")), "Ineligible to score in this section, not New Supply!","")</f>
        <v/>
      </c>
      <c r="M252" s="2542">
        <v>5</v>
      </c>
      <c r="N252" s="32"/>
      <c r="O252" s="630">
        <f>MIN($M252,MAX(O253,O254,O255))</f>
        <v>0</v>
      </c>
      <c r="P252" s="630">
        <f>MIN($M252,MAX(P253,P254,P255))</f>
        <v>0</v>
      </c>
      <c r="Q252" s="53" t="s">
        <v>1744</v>
      </c>
      <c r="R252" s="585" t="s">
        <v>6813</v>
      </c>
      <c r="S252" s="1104"/>
      <c r="T252" s="1104"/>
      <c r="U252" s="1104"/>
      <c r="V252" s="1104"/>
      <c r="W252" s="623"/>
      <c r="X252" s="623"/>
    </row>
    <row r="253" spans="1:27" s="11" customFormat="1" ht="11.25" customHeight="1">
      <c r="A253" s="72" t="s">
        <v>185</v>
      </c>
      <c r="B253" s="92" t="s">
        <v>6913</v>
      </c>
      <c r="M253" s="2525">
        <v>5</v>
      </c>
      <c r="N253" s="28" t="s">
        <v>185</v>
      </c>
      <c r="O253" s="2617"/>
      <c r="P253" s="2618"/>
      <c r="Q253" s="586" t="str">
        <f>IF(OR($O253=$M253,$O253=$M253-1,$O253=0,$O253=""),"","*CHECK!*")</f>
        <v/>
      </c>
      <c r="R253" s="585" t="s">
        <v>6813</v>
      </c>
      <c r="S253" s="1104"/>
      <c r="T253" s="1104"/>
      <c r="U253" s="1104"/>
      <c r="V253" s="1104"/>
    </row>
    <row r="254" spans="1:27" s="11" customFormat="1" ht="11.25" customHeight="1">
      <c r="A254" s="72" t="s">
        <v>197</v>
      </c>
      <c r="B254" s="92" t="s">
        <v>6914</v>
      </c>
      <c r="M254" s="2525">
        <v>3</v>
      </c>
      <c r="N254" s="28" t="s">
        <v>197</v>
      </c>
      <c r="O254" s="2606"/>
      <c r="P254" s="2616"/>
      <c r="Q254" s="586" t="str">
        <f>IF(OR($O254=$M254,$O254=$M254-1,$O254=0,$O254=""),"","*CHECK!*")</f>
        <v/>
      </c>
      <c r="R254" s="585" t="s">
        <v>6813</v>
      </c>
    </row>
    <row r="255" spans="1:27">
      <c r="A255" s="72" t="s">
        <v>218</v>
      </c>
      <c r="B255" s="92" t="s">
        <v>6915</v>
      </c>
      <c r="E255" s="16" t="s">
        <v>6916</v>
      </c>
      <c r="I255" s="901"/>
      <c r="L255" s="1072"/>
      <c r="M255" s="2525">
        <v>3</v>
      </c>
      <c r="N255" s="28" t="s">
        <v>218</v>
      </c>
      <c r="O255" s="293"/>
      <c r="P255" s="298"/>
      <c r="Q255" s="586" t="str">
        <f>IF(OR($O255=$M255,$O255=$M255-1,$O255=0,$O255=""),"","*CHECK!*")</f>
        <v/>
      </c>
      <c r="R255" s="585" t="s">
        <v>6813</v>
      </c>
    </row>
    <row r="256" spans="1:27" s="19" customFormat="1" ht="10.5" customHeight="1" thickBot="1">
      <c r="A256" s="43"/>
      <c r="B256" s="672" t="s">
        <v>6825</v>
      </c>
      <c r="C256" s="43"/>
      <c r="D256" s="48"/>
      <c r="E256" s="48"/>
      <c r="F256" s="48"/>
      <c r="G256" s="48"/>
      <c r="H256" s="13"/>
      <c r="I256" s="13"/>
      <c r="J256" s="13"/>
      <c r="K256" s="13"/>
      <c r="M256" s="32"/>
      <c r="N256" s="58"/>
      <c r="O256" s="2"/>
      <c r="P256" s="9"/>
    </row>
    <row r="257" spans="1:21" s="19" customFormat="1" ht="21.75" customHeight="1" thickTop="1" thickBot="1">
      <c r="A257" s="4682"/>
      <c r="B257" s="4683"/>
      <c r="C257" s="4683"/>
      <c r="D257" s="4683"/>
      <c r="E257" s="4683"/>
      <c r="F257" s="4683"/>
      <c r="G257" s="4683"/>
      <c r="H257" s="4683"/>
      <c r="I257" s="4683"/>
      <c r="J257" s="4683"/>
      <c r="K257" s="4683"/>
      <c r="L257" s="4683"/>
      <c r="M257" s="4683"/>
      <c r="N257" s="4683"/>
      <c r="O257" s="4683"/>
      <c r="P257" s="4684"/>
      <c r="Q257" s="249" t="s">
        <v>6410</v>
      </c>
    </row>
    <row r="258" spans="1:21" s="19" customFormat="1" ht="10.5" customHeight="1" thickTop="1">
      <c r="B258" s="37" t="s">
        <v>1452</v>
      </c>
      <c r="C258" s="723"/>
      <c r="D258" s="37"/>
      <c r="E258" s="46"/>
      <c r="F258" s="2586"/>
      <c r="G258" s="2586"/>
      <c r="H258" s="2586"/>
      <c r="I258" s="2586"/>
      <c r="J258" s="2586"/>
      <c r="K258" s="2586"/>
      <c r="L258" s="2586"/>
      <c r="M258" s="2586"/>
      <c r="N258" s="2401"/>
      <c r="O258" s="31"/>
      <c r="P258" s="2542"/>
    </row>
    <row r="259" spans="1:21" s="19" customFormat="1" ht="11.25" customHeight="1">
      <c r="A259" s="4386"/>
      <c r="B259" s="4387"/>
      <c r="C259" s="4387"/>
      <c r="D259" s="4387"/>
      <c r="E259" s="4387"/>
      <c r="F259" s="4387"/>
      <c r="G259" s="4387"/>
      <c r="H259" s="4387"/>
      <c r="I259" s="4387"/>
      <c r="J259" s="4387"/>
      <c r="K259" s="4387"/>
      <c r="L259" s="4387"/>
      <c r="M259" s="4387"/>
      <c r="N259" s="4387"/>
      <c r="O259" s="4387"/>
      <c r="P259" s="4388"/>
      <c r="Q259" s="248"/>
    </row>
    <row r="260" spans="1:21" ht="6" customHeight="1" thickBot="1">
      <c r="N260" s="58"/>
      <c r="T260" s="610"/>
      <c r="U260" s="610"/>
    </row>
    <row r="261" spans="1:21" s="19" customFormat="1" ht="13.5" customHeight="1" thickBot="1">
      <c r="A261" s="80" t="s">
        <v>1520</v>
      </c>
      <c r="B261" s="50" t="s">
        <v>1742</v>
      </c>
      <c r="D261" s="17"/>
      <c r="E261" s="17"/>
      <c r="F261" s="17"/>
      <c r="H261" s="16"/>
      <c r="J261" s="2596"/>
      <c r="K261" s="48"/>
      <c r="L261" s="28" t="s">
        <v>6917</v>
      </c>
      <c r="M261" s="2542">
        <v>4</v>
      </c>
      <c r="N261" s="32"/>
      <c r="O261" s="630">
        <f>IF(AND(O262&gt;0,O266&gt;0),"AorB?",MIN($M261,SUM(O262,O266,O268)))</f>
        <v>0</v>
      </c>
      <c r="P261" s="630">
        <f>IF(AND(P262&gt;0,P266&gt;0),"AorB?",MIN($M261,SUM(P262,P266,P268)))</f>
        <v>0</v>
      </c>
      <c r="Q261" s="53" t="s">
        <v>1744</v>
      </c>
      <c r="T261" s="610"/>
      <c r="U261" s="610"/>
    </row>
    <row r="262" spans="1:21" s="42" customFormat="1" ht="11.25" customHeight="1">
      <c r="A262" s="72" t="s">
        <v>185</v>
      </c>
      <c r="B262" s="92" t="s">
        <v>6918</v>
      </c>
      <c r="D262" s="27"/>
      <c r="E262" s="27"/>
      <c r="F262" s="20"/>
      <c r="G262"/>
      <c r="L262" s="209"/>
      <c r="M262" s="2525">
        <v>3</v>
      </c>
      <c r="N262" s="28" t="s">
        <v>185</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200</v>
      </c>
      <c r="C263" s="16" t="s">
        <v>6919</v>
      </c>
      <c r="D263" s="27"/>
      <c r="E263" s="27"/>
      <c r="F263" s="20"/>
      <c r="G263"/>
      <c r="L263" s="209"/>
      <c r="M263" s="2525">
        <v>3</v>
      </c>
      <c r="N263" s="101" t="s">
        <v>200</v>
      </c>
      <c r="O263" s="2898"/>
      <c r="P263" s="2899"/>
      <c r="Q263" s="586"/>
      <c r="R263" s="629"/>
      <c r="T263" s="610"/>
      <c r="U263" s="610"/>
    </row>
    <row r="264" spans="1:21" s="42" customFormat="1" ht="11.25" customHeight="1">
      <c r="A264" s="72"/>
      <c r="B264" s="244" t="s">
        <v>208</v>
      </c>
      <c r="C264" s="16" t="s">
        <v>6920</v>
      </c>
      <c r="D264" s="27"/>
      <c r="E264" s="27"/>
      <c r="F264" s="20"/>
      <c r="G264"/>
      <c r="L264" s="209"/>
      <c r="M264" s="2525">
        <v>2</v>
      </c>
      <c r="N264" s="101" t="s">
        <v>208</v>
      </c>
      <c r="O264" s="202"/>
      <c r="P264" s="299"/>
      <c r="Q264" s="586"/>
      <c r="R264" s="629"/>
      <c r="T264" s="610"/>
      <c r="U264" s="610"/>
    </row>
    <row r="265" spans="1:21" s="42" customFormat="1" ht="10.5" customHeight="1">
      <c r="A265" s="72"/>
      <c r="B265" s="244" t="s">
        <v>212</v>
      </c>
      <c r="C265" s="16" t="s">
        <v>6921</v>
      </c>
      <c r="D265" s="27"/>
      <c r="E265" s="27"/>
      <c r="F265" s="20"/>
      <c r="G265"/>
      <c r="K265" s="28"/>
      <c r="M265" s="2525">
        <v>1</v>
      </c>
      <c r="N265" s="101" t="s">
        <v>212</v>
      </c>
      <c r="O265" s="118"/>
      <c r="P265" s="300"/>
      <c r="R265" s="146"/>
      <c r="T265" s="610"/>
      <c r="U265" s="610"/>
    </row>
    <row r="266" spans="1:21" s="19" customFormat="1" ht="11.25" customHeight="1">
      <c r="A266" s="72" t="s">
        <v>197</v>
      </c>
      <c r="B266" s="92" t="s">
        <v>1747</v>
      </c>
      <c r="D266" s="13"/>
      <c r="K266" s="13"/>
      <c r="L266" s="209" t="str">
        <f>IF(OR($O266=$M266,$O266=0,$O266=""),"","* * Check Score! * *")</f>
        <v/>
      </c>
      <c r="M266" s="2525">
        <v>1</v>
      </c>
      <c r="N266" s="28" t="s">
        <v>197</v>
      </c>
      <c r="O266" s="2983">
        <f>IF(O267="Yes",$M$266,0)</f>
        <v>0</v>
      </c>
      <c r="P266" s="2983">
        <f>IF(P267="Yes",$M$266,0)</f>
        <v>0</v>
      </c>
      <c r="Q266" s="586" t="str">
        <f>IF(OR($O266=$M266,$O266=0,$O266=""),"","*CHECK!*")</f>
        <v/>
      </c>
      <c r="R266" s="629"/>
      <c r="T266" s="610"/>
      <c r="U266" s="610"/>
    </row>
    <row r="267" spans="1:21" s="19" customFormat="1" ht="12" customHeight="1">
      <c r="A267" s="80"/>
      <c r="B267" s="4525" t="s">
        <v>6922</v>
      </c>
      <c r="C267" s="4525"/>
      <c r="D267" s="4525"/>
      <c r="E267" s="4525"/>
      <c r="F267" s="4525"/>
      <c r="G267" s="4525"/>
      <c r="H267" s="4525"/>
      <c r="I267" s="4525"/>
      <c r="J267" s="4525"/>
      <c r="K267" s="4525"/>
      <c r="L267" s="4525"/>
      <c r="M267" s="32"/>
      <c r="N267" s="28"/>
      <c r="O267" s="2601"/>
      <c r="P267" s="2602"/>
      <c r="Q267" s="146"/>
      <c r="R267" s="209"/>
      <c r="T267" s="610"/>
      <c r="U267" s="610"/>
    </row>
    <row r="268" spans="1:21" s="19" customFormat="1" ht="11.25" customHeight="1">
      <c r="A268" s="72" t="s">
        <v>218</v>
      </c>
      <c r="B268" s="92" t="s">
        <v>6923</v>
      </c>
      <c r="D268" s="13"/>
      <c r="H268" s="98"/>
      <c r="K268" s="13"/>
      <c r="L268" s="209"/>
      <c r="M268" s="2525">
        <v>1</v>
      </c>
      <c r="N268" s="28" t="s">
        <v>218</v>
      </c>
      <c r="O268" s="2983">
        <f>IF(O262=0,0,IF(O269="Yes",$M$268,0))</f>
        <v>0</v>
      </c>
      <c r="P268" s="2983">
        <f>IF(P262=0,0,IF(P269="Yes",$M$268,0))</f>
        <v>0</v>
      </c>
      <c r="Q268" s="586" t="str">
        <f>IF(OR($O268=$M268,$O268=0,$O268=""),"","*CHECK!*")</f>
        <v/>
      </c>
      <c r="R268" s="629"/>
      <c r="T268" s="610"/>
      <c r="U268" s="610"/>
    </row>
    <row r="269" spans="1:21" s="19" customFormat="1" ht="33.75" customHeight="1">
      <c r="B269" s="4385" t="s">
        <v>6924</v>
      </c>
      <c r="C269" s="4385"/>
      <c r="D269" s="4385"/>
      <c r="E269" s="4385"/>
      <c r="F269" s="4385"/>
      <c r="G269" s="4385"/>
      <c r="H269" s="4385"/>
      <c r="I269" s="4385"/>
      <c r="J269" s="4385"/>
      <c r="K269" s="4385"/>
      <c r="L269" s="4385"/>
      <c r="M269" s="32"/>
      <c r="N269" s="28"/>
      <c r="O269" s="2595"/>
      <c r="P269" s="2593"/>
      <c r="Q269" s="146"/>
      <c r="R269" s="209"/>
      <c r="T269" s="610"/>
      <c r="U269" s="610"/>
    </row>
    <row r="270" spans="1:21" s="19" customFormat="1" ht="22.5" customHeight="1">
      <c r="B270" s="4385" t="s">
        <v>6925</v>
      </c>
      <c r="C270" s="4385"/>
      <c r="D270" s="4385"/>
      <c r="E270" s="4385"/>
      <c r="F270" s="4385"/>
      <c r="G270" s="4385"/>
      <c r="H270" s="4385"/>
      <c r="I270" s="4385"/>
      <c r="J270" s="4385"/>
      <c r="K270" s="4385"/>
      <c r="L270" s="4385"/>
      <c r="M270" s="32"/>
      <c r="N270" s="32"/>
      <c r="O270" s="32"/>
      <c r="P270" s="32"/>
      <c r="Q270" s="146"/>
      <c r="R270" s="209"/>
      <c r="T270" s="610"/>
      <c r="U270" s="610"/>
    </row>
    <row r="271" spans="1:21" s="19" customFormat="1" ht="10.5" customHeight="1">
      <c r="A271" s="43"/>
      <c r="B271" s="37" t="s">
        <v>1452</v>
      </c>
      <c r="C271" s="723"/>
      <c r="D271" s="37"/>
      <c r="E271" s="46"/>
      <c r="F271" s="2586"/>
      <c r="G271" s="2586"/>
      <c r="H271" s="2586"/>
      <c r="I271" s="2586"/>
      <c r="J271" s="2586"/>
      <c r="K271" s="2586"/>
      <c r="L271" s="2586"/>
      <c r="M271" s="2586"/>
      <c r="N271" s="2401"/>
      <c r="O271" s="31"/>
      <c r="P271" s="2542"/>
    </row>
    <row r="272" spans="1:21" s="19" customFormat="1" ht="11.25" customHeight="1">
      <c r="A272" s="4386"/>
      <c r="B272" s="4387"/>
      <c r="C272" s="4387"/>
      <c r="D272" s="4387"/>
      <c r="E272" s="4387"/>
      <c r="F272" s="4387"/>
      <c r="G272" s="4387"/>
      <c r="H272" s="4387"/>
      <c r="I272" s="4387"/>
      <c r="J272" s="4387"/>
      <c r="K272" s="4387"/>
      <c r="L272" s="4387"/>
      <c r="M272" s="4387"/>
      <c r="N272" s="4387"/>
      <c r="O272" s="4387"/>
      <c r="P272" s="4388"/>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1522</v>
      </c>
      <c r="B274" s="50" t="s">
        <v>6926</v>
      </c>
      <c r="D274" s="21"/>
      <c r="E274" s="21"/>
      <c r="G274" s="1089"/>
      <c r="H274" s="98"/>
      <c r="I274" s="1087" t="s">
        <v>1733</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1744</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185</v>
      </c>
      <c r="B276" s="644" t="s">
        <v>6927</v>
      </c>
      <c r="D276" s="265"/>
      <c r="E276" s="265"/>
      <c r="F276" s="265"/>
      <c r="G276" s="265"/>
      <c r="H276" s="265"/>
      <c r="L276" s="265"/>
      <c r="M276" s="2607">
        <v>1</v>
      </c>
      <c r="N276" s="28" t="s">
        <v>185</v>
      </c>
      <c r="O276" s="2898"/>
      <c r="P276" s="2899"/>
      <c r="Q276" s="591">
        <f>IF(L276="Yes",1,0)</f>
        <v>0</v>
      </c>
      <c r="R276" s="1094"/>
      <c r="S276" s="1094"/>
      <c r="T276" s="1094"/>
      <c r="U276" s="1094"/>
      <c r="V276" s="1094"/>
    </row>
    <row r="277" spans="1:24" ht="11.25" customHeight="1">
      <c r="A277" s="501" t="s">
        <v>197</v>
      </c>
      <c r="B277" s="644" t="s">
        <v>6928</v>
      </c>
      <c r="D277" s="265"/>
      <c r="L277" s="265"/>
      <c r="M277" s="2607">
        <v>2</v>
      </c>
      <c r="N277" s="28" t="s">
        <v>197</v>
      </c>
      <c r="O277" s="118"/>
      <c r="P277" s="300"/>
      <c r="Q277" s="591">
        <f>IF(L277="Yes",1,0)</f>
        <v>0</v>
      </c>
      <c r="R277" s="1094"/>
      <c r="S277" s="1094"/>
      <c r="T277" s="1094"/>
      <c r="U277" s="1094"/>
      <c r="V277" s="1094"/>
    </row>
    <row r="278" spans="1:24" ht="11.25" customHeight="1">
      <c r="B278" s="150" t="s">
        <v>6929</v>
      </c>
      <c r="D278" s="265"/>
      <c r="L278" s="265"/>
      <c r="M278" s="2607"/>
      <c r="N278" s="2607"/>
      <c r="O278" s="2607"/>
      <c r="P278" s="2607"/>
      <c r="Q278" s="591"/>
      <c r="R278" s="1094"/>
      <c r="S278" s="1094"/>
      <c r="T278" s="1094"/>
      <c r="U278" s="1094"/>
      <c r="V278" s="1094"/>
    </row>
    <row r="279" spans="1:24" ht="38.25" customHeight="1">
      <c r="B279" s="4382"/>
      <c r="C279" s="4383"/>
      <c r="D279" s="4383"/>
      <c r="E279" s="4383"/>
      <c r="F279" s="4383"/>
      <c r="G279" s="4383"/>
      <c r="H279" s="4383"/>
      <c r="I279" s="4383"/>
      <c r="J279" s="4383"/>
      <c r="K279" s="4383"/>
      <c r="L279" s="4383"/>
      <c r="M279" s="4383"/>
      <c r="N279" s="4383"/>
      <c r="O279" s="4383"/>
      <c r="P279" s="4384"/>
      <c r="Q279" s="591"/>
      <c r="R279" s="1094"/>
      <c r="S279" s="1094"/>
      <c r="T279" s="1094"/>
      <c r="U279" s="1094"/>
      <c r="V279" s="1094"/>
    </row>
    <row r="280" spans="1:24" s="19" customFormat="1" ht="10.5" customHeight="1" thickBot="1">
      <c r="A280" s="43"/>
      <c r="B280" s="672" t="s">
        <v>6825</v>
      </c>
      <c r="C280" s="43"/>
      <c r="D280" s="48"/>
      <c r="E280" s="48"/>
      <c r="F280" s="48"/>
      <c r="G280" s="48"/>
      <c r="H280" s="13"/>
      <c r="I280" s="13"/>
      <c r="J280" s="13"/>
      <c r="K280" s="13"/>
      <c r="M280" s="32"/>
      <c r="N280" s="58"/>
      <c r="O280" s="2"/>
      <c r="P280" s="9"/>
      <c r="R280" s="1094"/>
      <c r="S280" s="1094"/>
      <c r="T280" s="1094"/>
      <c r="U280" s="1094"/>
      <c r="V280" s="1094"/>
    </row>
    <row r="281" spans="1:24" s="19" customFormat="1" ht="35.1" customHeight="1" thickTop="1" thickBot="1">
      <c r="A281" s="4682"/>
      <c r="B281" s="4683"/>
      <c r="C281" s="4683"/>
      <c r="D281" s="4683"/>
      <c r="E281" s="4683"/>
      <c r="F281" s="4683"/>
      <c r="G281" s="4683"/>
      <c r="H281" s="4683"/>
      <c r="I281" s="4683"/>
      <c r="J281" s="4683"/>
      <c r="K281" s="4683"/>
      <c r="L281" s="4683"/>
      <c r="M281" s="4683"/>
      <c r="N281" s="4683"/>
      <c r="O281" s="4683"/>
      <c r="P281" s="4684"/>
      <c r="Q281" s="249" t="s">
        <v>6410</v>
      </c>
    </row>
    <row r="282" spans="1:24" s="19" customFormat="1" ht="10.5" customHeight="1" thickTop="1">
      <c r="A282" s="43"/>
      <c r="B282" s="37" t="s">
        <v>1452</v>
      </c>
      <c r="C282" s="43"/>
      <c r="D282" s="37"/>
      <c r="E282" s="2586"/>
      <c r="F282" s="2586"/>
      <c r="G282" s="2586"/>
      <c r="H282" s="2586"/>
      <c r="I282" s="2586"/>
      <c r="J282" s="2586"/>
      <c r="K282" s="2586"/>
      <c r="L282" s="2586"/>
      <c r="M282" s="2586"/>
      <c r="N282" s="2401"/>
      <c r="O282" s="31"/>
      <c r="P282" s="2542"/>
    </row>
    <row r="283" spans="1:24" s="19" customFormat="1" ht="11.25" customHeight="1">
      <c r="A283" s="4632"/>
      <c r="B283" s="4633"/>
      <c r="C283" s="4633"/>
      <c r="D283" s="4633"/>
      <c r="E283" s="4633"/>
      <c r="F283" s="4633"/>
      <c r="G283" s="4633"/>
      <c r="H283" s="4633"/>
      <c r="I283" s="4633"/>
      <c r="J283" s="4633"/>
      <c r="K283" s="4633"/>
      <c r="L283" s="4633"/>
      <c r="M283" s="4633"/>
      <c r="N283" s="4633"/>
      <c r="O283" s="4633"/>
      <c r="P283" s="4634"/>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1528</v>
      </c>
      <c r="B285" s="50" t="s">
        <v>6930</v>
      </c>
      <c r="D285" s="21"/>
      <c r="E285" s="21"/>
      <c r="G285" s="1089"/>
      <c r="H285" s="98"/>
      <c r="I285" s="98" t="s">
        <v>6931</v>
      </c>
      <c r="J285" s="98"/>
      <c r="K285" s="98"/>
      <c r="L285" s="1319" t="str">
        <f>IF(AND(O295&gt;0,O298&gt;0), "Choose only one option!","")</f>
        <v/>
      </c>
      <c r="M285" s="2542">
        <v>2</v>
      </c>
      <c r="N285" s="32"/>
      <c r="O285" s="630">
        <f>IF(O295=$M$295,$M$295,IF(O298=$M$298,$M$298,0))</f>
        <v>0</v>
      </c>
      <c r="P285" s="630">
        <f>IF(P295=$M$295,$M$295,IF(P298=$M$298,$M$298,0))</f>
        <v>0</v>
      </c>
      <c r="Q285" s="53" t="s">
        <v>1744</v>
      </c>
      <c r="R285" s="1094"/>
      <c r="S285" s="1094"/>
      <c r="T285" s="1094"/>
      <c r="U285" s="1094"/>
      <c r="V285" s="1094"/>
    </row>
    <row r="286" spans="1:24" s="42" customFormat="1" ht="11.25" customHeight="1">
      <c r="A286" s="79"/>
      <c r="B286" s="13" t="s">
        <v>6932</v>
      </c>
      <c r="D286" s="21"/>
      <c r="E286" s="21"/>
      <c r="G286" s="98"/>
      <c r="J286" s="896"/>
      <c r="M286" s="328"/>
      <c r="Q286" s="53"/>
      <c r="R286" s="1094"/>
      <c r="S286" s="1094"/>
      <c r="T286" s="1094"/>
      <c r="U286" s="1094"/>
      <c r="V286" s="1094"/>
      <c r="W286" s="19"/>
      <c r="X286" s="19"/>
    </row>
    <row r="287" spans="1:24" s="42" customFormat="1" ht="11.25" customHeight="1">
      <c r="A287" s="79"/>
      <c r="C287" s="13" t="s">
        <v>6933</v>
      </c>
      <c r="G287" s="98"/>
      <c r="I287" s="4711"/>
      <c r="J287" s="4712"/>
      <c r="K287" s="4713"/>
      <c r="L287" s="4714"/>
      <c r="M287" s="328"/>
      <c r="O287" s="1313"/>
      <c r="P287" s="1314"/>
      <c r="Q287" s="53"/>
      <c r="R287" s="1094"/>
      <c r="S287" s="1094"/>
      <c r="T287" s="1094"/>
      <c r="U287" s="1094"/>
      <c r="V287" s="1094"/>
      <c r="W287" s="19"/>
      <c r="X287" s="19"/>
    </row>
    <row r="288" spans="1:24" s="42" customFormat="1" ht="11.25" customHeight="1">
      <c r="A288" s="79"/>
      <c r="C288" s="13" t="s">
        <v>6934</v>
      </c>
      <c r="G288" s="98"/>
      <c r="I288" s="4715"/>
      <c r="J288" s="4716"/>
      <c r="M288" s="328"/>
      <c r="O288" s="1313"/>
      <c r="P288" s="1314"/>
      <c r="Q288" s="53"/>
      <c r="R288" s="1094"/>
      <c r="S288" s="1094"/>
      <c r="T288" s="1094"/>
      <c r="U288" s="1094"/>
      <c r="V288" s="1094"/>
      <c r="W288" s="19"/>
      <c r="X288" s="19"/>
    </row>
    <row r="289" spans="1:24" s="42" customFormat="1" ht="11.25" customHeight="1">
      <c r="A289" s="79"/>
      <c r="C289" s="13" t="s">
        <v>6935</v>
      </c>
      <c r="G289" s="98"/>
      <c r="I289" s="4717" t="s">
        <v>6936</v>
      </c>
      <c r="J289" s="4718"/>
      <c r="K289" s="4719"/>
      <c r="L289" s="4720"/>
      <c r="M289" s="328"/>
      <c r="O289" s="4721" t="s">
        <v>6828</v>
      </c>
      <c r="P289" s="4721" t="s">
        <v>6829</v>
      </c>
      <c r="Q289" s="53"/>
      <c r="R289" s="1094"/>
      <c r="S289" s="1094"/>
      <c r="T289" s="1094"/>
      <c r="U289" s="1094"/>
      <c r="V289" s="1094"/>
      <c r="W289" s="19"/>
      <c r="X289" s="19"/>
    </row>
    <row r="290" spans="1:24" s="19" customFormat="1" ht="11.25" customHeight="1">
      <c r="A290" s="79"/>
      <c r="B290" s="13" t="s">
        <v>6937</v>
      </c>
      <c r="D290" s="17"/>
      <c r="H290" s="92"/>
      <c r="M290" s="2542"/>
      <c r="N290" s="28"/>
      <c r="O290" s="4722"/>
      <c r="P290" s="4722"/>
      <c r="Q290" s="53"/>
      <c r="R290" s="639"/>
      <c r="S290" s="639"/>
      <c r="T290" s="639"/>
      <c r="U290" s="639"/>
    </row>
    <row r="291" spans="1:24" s="19" customFormat="1" ht="11.25" customHeight="1">
      <c r="A291" s="1312"/>
      <c r="B291" s="84" t="s">
        <v>6477</v>
      </c>
      <c r="C291" s="13" t="s">
        <v>6938</v>
      </c>
      <c r="D291" s="640"/>
      <c r="E291" s="42"/>
      <c r="F291" s="42"/>
      <c r="G291" s="42"/>
      <c r="H291" s="21"/>
      <c r="N291" s="84" t="s">
        <v>6477</v>
      </c>
      <c r="O291" s="2898"/>
      <c r="P291" s="2899"/>
      <c r="Q291" s="53"/>
      <c r="R291" s="639"/>
      <c r="S291" s="639"/>
      <c r="T291" s="639"/>
      <c r="U291" s="639"/>
    </row>
    <row r="292" spans="1:24" s="19" customFormat="1" ht="11.25" customHeight="1">
      <c r="A292" s="1312"/>
      <c r="B292" s="28" t="s">
        <v>6479</v>
      </c>
      <c r="C292" s="25" t="s">
        <v>6939</v>
      </c>
      <c r="D292" s="640"/>
      <c r="E292" s="42"/>
      <c r="F292" s="42"/>
      <c r="G292" s="42"/>
      <c r="H292" s="21"/>
      <c r="M292" s="42"/>
      <c r="N292" s="28" t="s">
        <v>6479</v>
      </c>
      <c r="O292" s="202"/>
      <c r="P292" s="299"/>
      <c r="Q292" s="53"/>
      <c r="R292" s="639"/>
      <c r="S292" s="639"/>
      <c r="T292" s="639"/>
      <c r="U292" s="639"/>
    </row>
    <row r="293" spans="1:24" s="19" customFormat="1" ht="11.25" customHeight="1">
      <c r="A293" s="1312"/>
      <c r="B293" s="28" t="s">
        <v>6685</v>
      </c>
      <c r="C293" s="13" t="s">
        <v>6940</v>
      </c>
      <c r="D293" s="640"/>
      <c r="E293" s="42"/>
      <c r="F293" s="42"/>
      <c r="G293" s="42"/>
      <c r="H293" s="21"/>
      <c r="I293" s="23"/>
      <c r="J293" s="48"/>
      <c r="K293" s="48"/>
      <c r="L293" s="42"/>
      <c r="M293" s="42"/>
      <c r="N293" s="28" t="s">
        <v>6685</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185</v>
      </c>
      <c r="B295" s="644" t="s">
        <v>6941</v>
      </c>
      <c r="D295" s="265"/>
      <c r="E295" s="265"/>
      <c r="G295" s="265" t="s">
        <v>6942</v>
      </c>
      <c r="H295" s="265"/>
      <c r="L295" s="265"/>
      <c r="M295" s="2607">
        <v>2</v>
      </c>
      <c r="N295" s="28" t="s">
        <v>185</v>
      </c>
      <c r="O295" s="648"/>
      <c r="P295" s="642"/>
      <c r="Q295" s="1255" t="str">
        <f>IF(OR(O295=0,O295="",O295=$M295),"","Check!")</f>
        <v/>
      </c>
      <c r="R295" s="629" t="s">
        <v>6884</v>
      </c>
      <c r="S295" s="1094"/>
      <c r="T295" s="1094"/>
      <c r="U295" s="1094"/>
      <c r="V295" s="1094"/>
    </row>
    <row r="296" spans="1:24" s="228" customFormat="1" ht="21.75" customHeight="1">
      <c r="A296" s="1075"/>
      <c r="B296" s="244" t="s">
        <v>200</v>
      </c>
      <c r="C296" s="4385" t="s">
        <v>6943</v>
      </c>
      <c r="D296" s="4385"/>
      <c r="E296" s="4385"/>
      <c r="F296" s="4385"/>
      <c r="G296" s="4385"/>
      <c r="H296" s="4385"/>
      <c r="I296" s="4385"/>
      <c r="J296" s="4385"/>
      <c r="K296" s="4385"/>
      <c r="L296" s="4385"/>
      <c r="M296" s="4385"/>
      <c r="N296" s="101" t="s">
        <v>200</v>
      </c>
      <c r="O296" s="2898"/>
      <c r="P296" s="2899"/>
      <c r="Q296" s="227"/>
      <c r="R296" s="1254"/>
      <c r="S296" s="1254"/>
      <c r="T296" s="1254"/>
      <c r="U296" s="1254"/>
    </row>
    <row r="297" spans="1:24" s="228" customFormat="1" ht="21.75" customHeight="1" thickBot="1">
      <c r="A297" s="1075"/>
      <c r="B297" s="244" t="s">
        <v>208</v>
      </c>
      <c r="C297" s="4385" t="s">
        <v>6944</v>
      </c>
      <c r="D297" s="4385"/>
      <c r="E297" s="4385"/>
      <c r="F297" s="4385"/>
      <c r="G297" s="4385"/>
      <c r="H297" s="4385"/>
      <c r="I297" s="4385"/>
      <c r="J297" s="4385"/>
      <c r="K297" s="4385"/>
      <c r="L297" s="4385"/>
      <c r="M297" s="4385"/>
      <c r="N297" s="101" t="s">
        <v>208</v>
      </c>
      <c r="O297" s="2595"/>
      <c r="P297" s="2593"/>
      <c r="Q297" s="227"/>
      <c r="R297" s="1254"/>
      <c r="S297" s="1254"/>
      <c r="T297" s="1254"/>
      <c r="U297" s="1254"/>
    </row>
    <row r="298" spans="1:24" ht="11.25" customHeight="1" thickBot="1">
      <c r="A298" s="501" t="s">
        <v>197</v>
      </c>
      <c r="B298" s="644" t="s">
        <v>6945</v>
      </c>
      <c r="D298" s="265"/>
      <c r="G298" s="25" t="s">
        <v>6946</v>
      </c>
      <c r="L298" s="265"/>
      <c r="M298" s="2607">
        <v>2</v>
      </c>
      <c r="N298" s="28" t="s">
        <v>197</v>
      </c>
      <c r="O298" s="648"/>
      <c r="P298" s="642"/>
      <c r="Q298" s="1255" t="str">
        <f>IF(OR(O298=0,O298="",O298=$M298),"","Check!")</f>
        <v/>
      </c>
      <c r="R298" s="629" t="s">
        <v>6884</v>
      </c>
      <c r="S298" s="1094"/>
      <c r="T298" s="1094"/>
      <c r="U298" s="1094"/>
      <c r="V298" s="1094"/>
    </row>
    <row r="299" spans="1:24" s="228" customFormat="1" ht="10.5" customHeight="1">
      <c r="A299" s="1075"/>
      <c r="B299" s="244" t="s">
        <v>200</v>
      </c>
      <c r="C299" s="4385" t="s">
        <v>6947</v>
      </c>
      <c r="D299" s="4385"/>
      <c r="E299" s="4385"/>
      <c r="F299" s="4385"/>
      <c r="G299" s="4385"/>
      <c r="H299" s="4385"/>
      <c r="I299" s="4385"/>
      <c r="J299" s="4385"/>
      <c r="K299" s="4385"/>
      <c r="L299" s="4385"/>
      <c r="M299" s="4385"/>
      <c r="N299" s="101" t="s">
        <v>200</v>
      </c>
      <c r="O299" s="2898"/>
      <c r="P299" s="2899"/>
      <c r="Q299" s="227"/>
      <c r="R299" s="1254"/>
      <c r="S299" s="1254"/>
      <c r="T299" s="1254"/>
      <c r="U299" s="1254"/>
    </row>
    <row r="300" spans="1:24" s="228" customFormat="1" ht="10.5" customHeight="1">
      <c r="A300" s="1075"/>
      <c r="B300" s="244" t="s">
        <v>208</v>
      </c>
      <c r="C300" s="4385" t="s">
        <v>6948</v>
      </c>
      <c r="D300" s="4385"/>
      <c r="E300" s="4385"/>
      <c r="F300" s="4385"/>
      <c r="G300" s="4385"/>
      <c r="H300" s="4385"/>
      <c r="I300" s="4385"/>
      <c r="J300" s="4385"/>
      <c r="K300" s="4385"/>
      <c r="L300" s="4385"/>
      <c r="M300" s="4385"/>
      <c r="N300" s="101" t="s">
        <v>208</v>
      </c>
      <c r="O300" s="2595"/>
      <c r="P300" s="2593"/>
      <c r="Q300" s="227"/>
      <c r="R300" s="1254"/>
      <c r="S300" s="1254"/>
      <c r="T300" s="1254"/>
      <c r="U300" s="1254"/>
    </row>
    <row r="301" spans="1:24" s="228" customFormat="1" ht="10.5" customHeight="1">
      <c r="A301" s="1075"/>
      <c r="B301" s="244" t="s">
        <v>212</v>
      </c>
      <c r="C301" s="500" t="s">
        <v>6949</v>
      </c>
      <c r="D301" s="2586"/>
      <c r="E301" s="2586"/>
      <c r="F301" s="2586"/>
      <c r="G301" s="2586"/>
      <c r="H301" s="2586"/>
      <c r="I301" s="2586"/>
      <c r="J301" s="2586"/>
      <c r="K301" s="2586"/>
      <c r="L301" s="2586"/>
      <c r="M301" s="2586"/>
      <c r="N301" s="101" t="s">
        <v>212</v>
      </c>
      <c r="O301" s="2586"/>
      <c r="P301" s="2586"/>
      <c r="Q301" s="227"/>
      <c r="R301" s="1254"/>
      <c r="S301" s="1254"/>
      <c r="T301" s="1254"/>
      <c r="U301" s="1254"/>
    </row>
    <row r="302" spans="1:24" s="19" customFormat="1" ht="11.25" customHeight="1">
      <c r="A302" s="79"/>
      <c r="B302" s="84" t="s">
        <v>6477</v>
      </c>
      <c r="C302" s="13" t="s">
        <v>6950</v>
      </c>
      <c r="D302" s="640"/>
      <c r="E302" s="42"/>
      <c r="F302" s="42"/>
      <c r="G302" s="42"/>
      <c r="H302" s="21"/>
      <c r="I302" s="23"/>
      <c r="M302" s="2542"/>
      <c r="N302" s="84" t="s">
        <v>6477</v>
      </c>
      <c r="O302" s="2898"/>
      <c r="P302" s="2899"/>
      <c r="Q302" s="53"/>
      <c r="R302" s="639"/>
      <c r="S302" s="639"/>
      <c r="T302" s="639"/>
      <c r="U302" s="639"/>
    </row>
    <row r="303" spans="1:24" s="19" customFormat="1" ht="11.25" customHeight="1">
      <c r="A303" s="79"/>
      <c r="B303" s="28" t="s">
        <v>6479</v>
      </c>
      <c r="C303" s="13" t="s">
        <v>6951</v>
      </c>
      <c r="D303" s="640"/>
      <c r="E303" s="42"/>
      <c r="F303" s="42"/>
      <c r="G303" s="42"/>
      <c r="H303" s="21"/>
      <c r="I303" s="23"/>
      <c r="J303" s="48"/>
      <c r="K303" s="48"/>
      <c r="L303" s="42"/>
      <c r="M303" s="42"/>
      <c r="N303" s="28" t="s">
        <v>6479</v>
      </c>
      <c r="O303" s="202"/>
      <c r="P303" s="299"/>
      <c r="Q303" s="53"/>
      <c r="R303" s="639"/>
      <c r="S303" s="639"/>
      <c r="T303" s="639"/>
      <c r="U303" s="639"/>
    </row>
    <row r="304" spans="1:24" s="228" customFormat="1" ht="21.75" customHeight="1">
      <c r="A304" s="1075"/>
      <c r="B304" s="244" t="s">
        <v>252</v>
      </c>
      <c r="C304" s="4385" t="s">
        <v>6952</v>
      </c>
      <c r="D304" s="4385"/>
      <c r="E304" s="4385"/>
      <c r="F304" s="4385"/>
      <c r="G304" s="4385"/>
      <c r="H304" s="4385"/>
      <c r="I304" s="4385"/>
      <c r="J304" s="4385"/>
      <c r="K304" s="4385"/>
      <c r="L304" s="4385"/>
      <c r="M304" s="4385"/>
      <c r="N304" s="101" t="s">
        <v>252</v>
      </c>
      <c r="O304" s="2595"/>
      <c r="P304" s="2593"/>
      <c r="Q304" s="227"/>
      <c r="R304" s="1254"/>
      <c r="S304" s="1254"/>
      <c r="T304" s="1254"/>
      <c r="U304" s="1254"/>
    </row>
    <row r="305" spans="1:22" s="19" customFormat="1" ht="10.5" customHeight="1" thickBot="1">
      <c r="A305" s="43"/>
      <c r="B305" s="672" t="s">
        <v>6825</v>
      </c>
      <c r="C305" s="43"/>
      <c r="D305" s="48"/>
      <c r="E305" s="48"/>
      <c r="F305" s="48"/>
      <c r="G305" s="48"/>
      <c r="H305" s="13"/>
      <c r="I305" s="13"/>
      <c r="J305" s="13"/>
      <c r="K305" s="13"/>
      <c r="M305" s="32"/>
      <c r="N305" s="58"/>
      <c r="O305" s="2"/>
      <c r="P305" s="9"/>
      <c r="R305" s="1094"/>
      <c r="S305" s="1094"/>
      <c r="T305" s="1094"/>
      <c r="U305" s="1094"/>
      <c r="V305" s="1094"/>
    </row>
    <row r="306" spans="1:22" s="19" customFormat="1" ht="35.1" customHeight="1" thickTop="1" thickBot="1">
      <c r="A306" s="4682"/>
      <c r="B306" s="4683"/>
      <c r="C306" s="4683"/>
      <c r="D306" s="4683"/>
      <c r="E306" s="4683"/>
      <c r="F306" s="4683"/>
      <c r="G306" s="4683"/>
      <c r="H306" s="4683"/>
      <c r="I306" s="4683"/>
      <c r="J306" s="4683"/>
      <c r="K306" s="4683"/>
      <c r="L306" s="4683"/>
      <c r="M306" s="4683"/>
      <c r="N306" s="4683"/>
      <c r="O306" s="4683"/>
      <c r="P306" s="4684"/>
      <c r="Q306" s="249" t="s">
        <v>6410</v>
      </c>
    </row>
    <row r="307" spans="1:22" s="19" customFormat="1" ht="10.5" customHeight="1" thickTop="1">
      <c r="A307" s="43"/>
      <c r="B307" s="37" t="s">
        <v>1452</v>
      </c>
      <c r="C307" s="43"/>
      <c r="D307" s="37"/>
      <c r="E307" s="2586"/>
      <c r="F307" s="2586"/>
      <c r="G307" s="2586"/>
      <c r="H307" s="2586"/>
      <c r="I307" s="2586"/>
      <c r="J307" s="2586"/>
      <c r="K307" s="2586"/>
      <c r="L307" s="2586"/>
      <c r="M307" s="2586"/>
      <c r="N307" s="2401"/>
      <c r="O307" s="31"/>
      <c r="P307" s="2542"/>
    </row>
    <row r="308" spans="1:22" s="19" customFormat="1" ht="11.25" customHeight="1">
      <c r="A308" s="4632"/>
      <c r="B308" s="4633"/>
      <c r="C308" s="4633"/>
      <c r="D308" s="4633"/>
      <c r="E308" s="4633"/>
      <c r="F308" s="4633"/>
      <c r="G308" s="4633"/>
      <c r="H308" s="4633"/>
      <c r="I308" s="4633"/>
      <c r="J308" s="4633"/>
      <c r="K308" s="4633"/>
      <c r="L308" s="4633"/>
      <c r="M308" s="4633"/>
      <c r="N308" s="4633"/>
      <c r="O308" s="4633"/>
      <c r="P308" s="4634"/>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1548</v>
      </c>
      <c r="B310" s="50" t="s">
        <v>1960</v>
      </c>
      <c r="D310" s="21"/>
      <c r="E310" s="21"/>
      <c r="G310" s="1089"/>
      <c r="H310" s="98"/>
      <c r="I310" s="98"/>
      <c r="J310" s="98"/>
      <c r="K310" s="98"/>
      <c r="L310" s="98"/>
      <c r="M310" s="2542">
        <v>2</v>
      </c>
      <c r="N310" s="32"/>
      <c r="O310" s="630">
        <f>IF(OR(O311=$M311,O312=$M312),$M$310,0)</f>
        <v>0</v>
      </c>
      <c r="P310" s="630">
        <f>IF(OR(P311=$M311,P312=$M312),$M$310,0)</f>
        <v>0</v>
      </c>
      <c r="Q310" s="53" t="s">
        <v>1744</v>
      </c>
      <c r="R310" s="1094"/>
      <c r="S310" s="1094"/>
      <c r="T310" s="1094"/>
      <c r="U310" s="1094"/>
      <c r="V310" s="1094"/>
    </row>
    <row r="311" spans="1:22" ht="11.25" customHeight="1">
      <c r="A311" s="501" t="s">
        <v>185</v>
      </c>
      <c r="B311" s="644" t="s">
        <v>1961</v>
      </c>
      <c r="D311" s="265"/>
      <c r="E311" s="265" t="s">
        <v>1962</v>
      </c>
      <c r="F311" s="265"/>
      <c r="G311" s="265"/>
      <c r="H311" s="265"/>
      <c r="I311" s="4869"/>
      <c r="J311" s="4870"/>
      <c r="K311" s="4870"/>
      <c r="L311" s="4871"/>
      <c r="M311" s="2607">
        <v>2</v>
      </c>
      <c r="N311" s="28" t="s">
        <v>185</v>
      </c>
      <c r="O311" s="2980"/>
      <c r="P311" s="2981"/>
      <c r="Q311" s="1255" t="str">
        <f>IF(OR(O311=0,O311="",O311=$M311),"","Check!")</f>
        <v/>
      </c>
      <c r="R311" s="629" t="s">
        <v>6884</v>
      </c>
      <c r="S311" s="1094"/>
      <c r="T311" s="1094"/>
      <c r="U311" s="1094"/>
      <c r="V311" s="1094"/>
    </row>
    <row r="312" spans="1:22" ht="11.25" customHeight="1">
      <c r="A312" s="501" t="s">
        <v>197</v>
      </c>
      <c r="B312" s="644" t="s">
        <v>1963</v>
      </c>
      <c r="D312" s="265"/>
      <c r="L312" s="265"/>
      <c r="M312" s="2607">
        <v>2</v>
      </c>
      <c r="N312" s="28" t="s">
        <v>197</v>
      </c>
      <c r="O312" s="293"/>
      <c r="P312" s="298"/>
      <c r="Q312" s="1255" t="str">
        <f>IF(OR(O312=0,O312="",O312=$M312),"","Check!")</f>
        <v/>
      </c>
      <c r="R312" s="629" t="s">
        <v>6884</v>
      </c>
      <c r="S312" s="1094"/>
      <c r="T312" s="1094"/>
      <c r="U312" s="1094"/>
      <c r="V312" s="1094"/>
    </row>
    <row r="313" spans="1:22" s="19" customFormat="1" ht="10.5" customHeight="1" thickBot="1">
      <c r="A313" s="43"/>
      <c r="B313" s="672" t="s">
        <v>6825</v>
      </c>
      <c r="C313" s="43"/>
      <c r="D313" s="48"/>
      <c r="E313" s="48"/>
      <c r="F313" s="48"/>
      <c r="G313" s="48"/>
      <c r="H313" s="13"/>
      <c r="I313" s="13"/>
      <c r="J313" s="13"/>
      <c r="K313" s="13"/>
      <c r="M313" s="32"/>
      <c r="N313" s="58"/>
      <c r="O313" s="2"/>
      <c r="P313" s="9"/>
      <c r="R313" s="1094"/>
      <c r="S313" s="1094"/>
      <c r="T313" s="1094"/>
      <c r="U313" s="1094"/>
      <c r="V313" s="1094"/>
    </row>
    <row r="314" spans="1:22" s="19" customFormat="1" ht="35.1" customHeight="1" thickTop="1" thickBot="1">
      <c r="A314" s="4682"/>
      <c r="B314" s="4683"/>
      <c r="C314" s="4683"/>
      <c r="D314" s="4683"/>
      <c r="E314" s="4683"/>
      <c r="F314" s="4683"/>
      <c r="G314" s="4683"/>
      <c r="H314" s="4683"/>
      <c r="I314" s="4683"/>
      <c r="J314" s="4683"/>
      <c r="K314" s="4683"/>
      <c r="L314" s="4683"/>
      <c r="M314" s="4683"/>
      <c r="N314" s="4683"/>
      <c r="O314" s="4683"/>
      <c r="P314" s="4684"/>
      <c r="Q314" s="249" t="s">
        <v>6410</v>
      </c>
    </row>
    <row r="315" spans="1:22" s="19" customFormat="1" ht="10.5" customHeight="1" thickTop="1">
      <c r="A315" s="43"/>
      <c r="B315" s="37" t="s">
        <v>1452</v>
      </c>
      <c r="C315" s="43"/>
      <c r="D315" s="37"/>
      <c r="E315" s="2586"/>
      <c r="F315" s="2586"/>
      <c r="G315" s="2586"/>
      <c r="H315" s="2586"/>
      <c r="I315" s="2586"/>
      <c r="J315" s="2586"/>
      <c r="K315" s="2586"/>
      <c r="L315" s="2586"/>
      <c r="M315" s="2586"/>
      <c r="N315" s="2401"/>
      <c r="O315" s="31"/>
      <c r="P315" s="2542"/>
    </row>
    <row r="316" spans="1:22" s="19" customFormat="1" ht="11.25" customHeight="1">
      <c r="A316" s="4632"/>
      <c r="B316" s="4633"/>
      <c r="C316" s="4633"/>
      <c r="D316" s="4633"/>
      <c r="E316" s="4633"/>
      <c r="F316" s="4633"/>
      <c r="G316" s="4633"/>
      <c r="H316" s="4633"/>
      <c r="I316" s="4633"/>
      <c r="J316" s="4633"/>
      <c r="K316" s="4633"/>
      <c r="L316" s="4633"/>
      <c r="M316" s="4633"/>
      <c r="N316" s="4633"/>
      <c r="O316" s="4633"/>
      <c r="P316" s="4634"/>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1557</v>
      </c>
      <c r="B318" s="50" t="s">
        <v>6953</v>
      </c>
      <c r="C318" s="39"/>
      <c r="D318" s="25"/>
      <c r="E318" s="13"/>
      <c r="G318" s="25"/>
      <c r="I318" s="1087" t="s">
        <v>6904</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1744</v>
      </c>
    </row>
    <row r="319" spans="1:22" s="19" customFormat="1" ht="13.5" customHeight="1">
      <c r="A319" s="79"/>
      <c r="B319" s="13" t="s">
        <v>6954</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185</v>
      </c>
      <c r="B320" s="92" t="s">
        <v>6955</v>
      </c>
      <c r="C320" s="39"/>
      <c r="D320" s="25"/>
      <c r="E320" s="13"/>
      <c r="G320" s="979"/>
      <c r="I320" s="16" t="s">
        <v>6956</v>
      </c>
      <c r="K320" s="1073">
        <f>'Part VIII Scoring Criteria OLD'!P42</f>
        <v>0</v>
      </c>
      <c r="M320" s="2525">
        <v>2</v>
      </c>
      <c r="N320" s="28" t="s">
        <v>185</v>
      </c>
      <c r="P320" s="2984"/>
      <c r="Q320" s="53"/>
      <c r="R320" s="629" t="s">
        <v>6884</v>
      </c>
    </row>
    <row r="321" spans="1:19" s="42" customFormat="1" ht="10.5" customHeight="1">
      <c r="A321" s="501"/>
      <c r="B321" s="208" t="s">
        <v>200</v>
      </c>
      <c r="C321" s="13" t="s">
        <v>6957</v>
      </c>
      <c r="D321" s="11"/>
      <c r="N321" s="242" t="s">
        <v>6958</v>
      </c>
      <c r="O321" s="2898"/>
      <c r="P321" s="2899"/>
      <c r="R321" s="209"/>
    </row>
    <row r="322" spans="1:19" s="42" customFormat="1" ht="10.5" customHeight="1">
      <c r="A322" s="501"/>
      <c r="B322" s="208"/>
      <c r="C322" s="13" t="s">
        <v>6959</v>
      </c>
      <c r="D322" s="11"/>
      <c r="N322" s="242" t="s">
        <v>6960</v>
      </c>
      <c r="O322" s="202"/>
      <c r="P322" s="299"/>
      <c r="R322" s="209"/>
    </row>
    <row r="323" spans="1:19" s="42" customFormat="1" ht="10.5" customHeight="1">
      <c r="A323" s="501"/>
      <c r="B323" s="208" t="s">
        <v>208</v>
      </c>
      <c r="C323" s="13" t="s">
        <v>6961</v>
      </c>
      <c r="D323" s="11"/>
      <c r="N323" s="242" t="s">
        <v>208</v>
      </c>
      <c r="O323" s="202"/>
      <c r="P323" s="299"/>
      <c r="R323" s="209"/>
    </row>
    <row r="324" spans="1:19" s="42" customFormat="1" ht="10.5" customHeight="1">
      <c r="A324" s="501"/>
      <c r="B324" s="208" t="s">
        <v>212</v>
      </c>
      <c r="C324" s="13" t="s">
        <v>6962</v>
      </c>
      <c r="D324" s="11"/>
      <c r="N324" s="242" t="s">
        <v>212</v>
      </c>
      <c r="O324" s="202"/>
      <c r="P324" s="299"/>
      <c r="R324" s="209"/>
    </row>
    <row r="325" spans="1:19" s="42" customFormat="1" ht="10.5" customHeight="1">
      <c r="A325" s="670"/>
      <c r="B325" s="208" t="s">
        <v>252</v>
      </c>
      <c r="C325" s="13" t="s">
        <v>6963</v>
      </c>
      <c r="D325" s="11"/>
      <c r="N325" s="242" t="s">
        <v>252</v>
      </c>
      <c r="O325" s="118"/>
      <c r="P325" s="299"/>
      <c r="R325" s="209"/>
    </row>
    <row r="326" spans="1:19" s="19" customFormat="1" ht="12" customHeight="1">
      <c r="A326" s="501" t="s">
        <v>197</v>
      </c>
      <c r="B326" s="92" t="s">
        <v>6964</v>
      </c>
      <c r="C326" s="39"/>
      <c r="D326" s="25"/>
      <c r="E326" s="13"/>
      <c r="G326" s="979"/>
      <c r="I326" s="272"/>
      <c r="L326" s="2591"/>
      <c r="M326" s="2525">
        <v>2</v>
      </c>
      <c r="N326" s="28" t="s">
        <v>197</v>
      </c>
      <c r="P326" s="2984"/>
      <c r="Q326" s="53"/>
      <c r="R326" s="629" t="s">
        <v>6884</v>
      </c>
    </row>
    <row r="327" spans="1:19" s="42" customFormat="1" ht="10.5" customHeight="1">
      <c r="A327" s="80"/>
      <c r="B327" s="208" t="s">
        <v>200</v>
      </c>
      <c r="C327" s="13" t="s">
        <v>6957</v>
      </c>
      <c r="D327" s="13"/>
      <c r="E327" s="13"/>
      <c r="M327" s="2542"/>
      <c r="N327" s="242" t="s">
        <v>6958</v>
      </c>
      <c r="O327" s="2898"/>
      <c r="P327" s="2899"/>
      <c r="Q327" s="53"/>
    </row>
    <row r="328" spans="1:19" s="42" customFormat="1" ht="10.5" customHeight="1">
      <c r="A328" s="72"/>
      <c r="B328" s="208"/>
      <c r="C328" s="13" t="s">
        <v>6965</v>
      </c>
      <c r="D328" s="11"/>
      <c r="N328" s="242" t="s">
        <v>6960</v>
      </c>
      <c r="O328" s="202"/>
      <c r="P328" s="299"/>
      <c r="R328" s="209"/>
    </row>
    <row r="329" spans="1:19" s="42" customFormat="1" ht="10.5" customHeight="1">
      <c r="A329" s="72"/>
      <c r="B329" s="208" t="s">
        <v>208</v>
      </c>
      <c r="C329" s="13" t="s">
        <v>6966</v>
      </c>
      <c r="D329" s="11"/>
      <c r="N329" s="242" t="s">
        <v>208</v>
      </c>
      <c r="O329" s="202"/>
      <c r="P329" s="299"/>
      <c r="R329" s="209"/>
    </row>
    <row r="330" spans="1:19" s="42" customFormat="1" ht="10.5" customHeight="1">
      <c r="B330" s="208" t="s">
        <v>212</v>
      </c>
      <c r="C330" s="13" t="s">
        <v>6963</v>
      </c>
      <c r="D330" s="11"/>
      <c r="N330" s="242" t="s">
        <v>212</v>
      </c>
      <c r="O330" s="118"/>
      <c r="P330" s="300"/>
      <c r="R330" s="209"/>
    </row>
    <row r="331" spans="1:19" s="19" customFormat="1" ht="10.5" customHeight="1">
      <c r="B331" s="37" t="s">
        <v>1452</v>
      </c>
      <c r="C331" s="723"/>
      <c r="D331" s="37"/>
      <c r="E331" s="46"/>
      <c r="F331" s="2586"/>
      <c r="G331" s="2586"/>
      <c r="H331" s="2586"/>
      <c r="I331" s="2586"/>
      <c r="J331" s="2586"/>
      <c r="K331" s="2586"/>
      <c r="L331" s="2586"/>
      <c r="M331" s="2586"/>
      <c r="N331" s="2401"/>
      <c r="O331" s="31"/>
      <c r="P331" s="2542"/>
    </row>
    <row r="332" spans="1:19" s="19" customFormat="1" ht="11.25" customHeight="1">
      <c r="A332" s="4386"/>
      <c r="B332" s="4387"/>
      <c r="C332" s="4387"/>
      <c r="D332" s="4387"/>
      <c r="E332" s="4387"/>
      <c r="F332" s="4387"/>
      <c r="G332" s="4387"/>
      <c r="H332" s="4387"/>
      <c r="I332" s="4387"/>
      <c r="J332" s="4387"/>
      <c r="K332" s="4387"/>
      <c r="L332" s="4387"/>
      <c r="M332" s="4387"/>
      <c r="N332" s="4387"/>
      <c r="O332" s="4387"/>
      <c r="P332" s="4388"/>
      <c r="Q332" s="248"/>
    </row>
    <row r="333" spans="1:19" ht="2.25" customHeight="1" thickBot="1">
      <c r="N333" s="58"/>
    </row>
    <row r="334" spans="1:19" s="19" customFormat="1" ht="13.5" customHeight="1" thickBot="1">
      <c r="A334" s="80" t="s">
        <v>1565</v>
      </c>
      <c r="B334" s="50" t="s">
        <v>1965</v>
      </c>
      <c r="D334" s="39"/>
      <c r="E334" s="39"/>
      <c r="G334" s="13"/>
      <c r="M334" s="2542">
        <v>2</v>
      </c>
      <c r="N334" s="221"/>
      <c r="O334" s="648"/>
      <c r="P334" s="642"/>
      <c r="Q334" s="53" t="s">
        <v>1744</v>
      </c>
      <c r="R334" s="1105" t="s">
        <v>6813</v>
      </c>
      <c r="S334" s="1105"/>
    </row>
    <row r="335" spans="1:19" s="19" customFormat="1" ht="11.25" customHeight="1">
      <c r="A335" s="72"/>
      <c r="B335" s="56" t="s">
        <v>1966</v>
      </c>
      <c r="D335" s="39"/>
      <c r="E335" s="39"/>
      <c r="G335" s="13"/>
      <c r="I335" s="3904" t="s">
        <v>6967</v>
      </c>
      <c r="J335" s="3905"/>
      <c r="K335" s="3905"/>
      <c r="L335" s="3906"/>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6825</v>
      </c>
      <c r="C337" s="43"/>
      <c r="D337" s="48"/>
      <c r="E337" s="48"/>
      <c r="F337" s="48"/>
      <c r="G337" s="48"/>
      <c r="H337" s="13"/>
      <c r="I337" s="13"/>
      <c r="J337" s="13"/>
      <c r="K337" s="13"/>
      <c r="M337" s="32"/>
      <c r="N337" s="32"/>
      <c r="O337" s="2"/>
      <c r="P337" s="2542"/>
    </row>
    <row r="338" spans="1:20" s="19" customFormat="1" ht="11.1" customHeight="1" thickTop="1" thickBot="1">
      <c r="A338" s="4682"/>
      <c r="B338" s="4683"/>
      <c r="C338" s="4683"/>
      <c r="D338" s="4683"/>
      <c r="E338" s="4683"/>
      <c r="F338" s="4683"/>
      <c r="G338" s="4683"/>
      <c r="H338" s="4683"/>
      <c r="I338" s="4683"/>
      <c r="J338" s="4683"/>
      <c r="K338" s="4683"/>
      <c r="L338" s="4683"/>
      <c r="M338" s="4683"/>
      <c r="N338" s="4683"/>
      <c r="O338" s="4683"/>
      <c r="P338" s="4684"/>
      <c r="Q338" s="249" t="s">
        <v>6410</v>
      </c>
    </row>
    <row r="339" spans="1:20" s="42" customFormat="1" ht="10.5" customHeight="1" thickTop="1">
      <c r="A339" s="43"/>
      <c r="B339" s="45" t="s">
        <v>1452</v>
      </c>
      <c r="C339" s="43"/>
      <c r="D339" s="45"/>
      <c r="E339" s="2590"/>
      <c r="F339" s="2590"/>
      <c r="G339" s="2590"/>
      <c r="H339" s="2590"/>
      <c r="I339" s="2590"/>
      <c r="J339" s="2590"/>
      <c r="K339" s="2590"/>
      <c r="L339" s="2590"/>
      <c r="M339" s="2590"/>
      <c r="N339" s="2402"/>
      <c r="O339" s="493"/>
      <c r="P339" s="2542"/>
      <c r="Q339" s="19"/>
    </row>
    <row r="340" spans="1:20" s="19" customFormat="1" ht="11.25" customHeight="1">
      <c r="A340" s="4386"/>
      <c r="B340" s="4387"/>
      <c r="C340" s="4387"/>
      <c r="D340" s="4387"/>
      <c r="E340" s="4387"/>
      <c r="F340" s="4387"/>
      <c r="G340" s="4387"/>
      <c r="H340" s="4387"/>
      <c r="I340" s="4387"/>
      <c r="J340" s="4387"/>
      <c r="K340" s="4387"/>
      <c r="L340" s="4387"/>
      <c r="M340" s="4387"/>
      <c r="N340" s="4387"/>
      <c r="O340" s="4387"/>
      <c r="P340" s="4388"/>
      <c r="Q340" s="248"/>
    </row>
    <row r="341" spans="1:20" ht="3" customHeight="1" thickBot="1">
      <c r="N341" s="58"/>
    </row>
    <row r="342" spans="1:20" s="19" customFormat="1" ht="13.5" customHeight="1" thickBot="1">
      <c r="A342" s="79" t="s">
        <v>1577</v>
      </c>
      <c r="B342" s="50" t="s">
        <v>1755</v>
      </c>
      <c r="D342" s="39"/>
      <c r="E342" s="39"/>
      <c r="F342" s="13"/>
      <c r="G342" s="13"/>
      <c r="H342" s="13"/>
      <c r="J342" s="1351" t="s">
        <v>2027</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1744</v>
      </c>
    </row>
    <row r="343" spans="1:20" s="19" customFormat="1" ht="10.5" customHeight="1">
      <c r="A343" s="43"/>
      <c r="B343" s="56" t="s">
        <v>6968</v>
      </c>
      <c r="E343" s="39"/>
      <c r="F343" s="13"/>
      <c r="G343" s="13"/>
      <c r="H343" s="13"/>
      <c r="I343" s="13"/>
      <c r="K343" s="2596"/>
      <c r="L343" s="26"/>
      <c r="O343" s="2596" t="s">
        <v>245</v>
      </c>
      <c r="P343" s="2596" t="s">
        <v>245</v>
      </c>
    </row>
    <row r="344" spans="1:20" s="47" customFormat="1" ht="12.75" customHeight="1">
      <c r="A344" s="25"/>
      <c r="B344" s="28" t="s">
        <v>6477</v>
      </c>
      <c r="C344" s="13" t="s">
        <v>6969</v>
      </c>
      <c r="D344" s="25"/>
      <c r="E344" s="39"/>
      <c r="F344" s="13"/>
      <c r="G344" s="13"/>
      <c r="H344" s="13"/>
      <c r="I344" s="13"/>
      <c r="J344" s="19"/>
      <c r="K344" s="2596"/>
      <c r="L344" s="4744" t="str">
        <f>IF(OR(O344="No",O344="",O345="No",O345="",O346="No",O346="",O347="No",O347=""),"Unmet criterion results in no points!","")</f>
        <v>Unmet criterion results in no points!</v>
      </c>
      <c r="M344" s="4744"/>
      <c r="N344" s="28" t="s">
        <v>6477</v>
      </c>
      <c r="O344" s="2898"/>
      <c r="P344" s="2899"/>
      <c r="Q344" s="25"/>
      <c r="R344" s="4740" t="str">
        <f>IF(OR(P344="No",P344="",P345="No",P345="",P346="No",P346="",P347="No",P347=""),"Unmet criterion results in no points!","")</f>
        <v>Unmet criterion results in no points!</v>
      </c>
      <c r="S344" s="4740" t="e">
        <f>IF(OR(V344="No",V344="",V345="No",V345="",V346="No",V346="",V347="No",V347="",#REF!="No",#REF!="",#REF!="No",#REF!=""),"Unmet criterion results in no points!","")</f>
        <v>#REF!</v>
      </c>
      <c r="T344" s="25"/>
    </row>
    <row r="345" spans="1:20" s="47" customFormat="1" ht="12.75" customHeight="1">
      <c r="A345" s="25"/>
      <c r="B345" s="28" t="s">
        <v>6479</v>
      </c>
      <c r="C345" s="13" t="s">
        <v>6970</v>
      </c>
      <c r="D345" s="25"/>
      <c r="E345" s="25"/>
      <c r="F345" s="25"/>
      <c r="G345" s="25"/>
      <c r="H345" s="25"/>
      <c r="I345" s="25"/>
      <c r="J345" s="25"/>
      <c r="K345" s="25"/>
      <c r="L345" s="4744"/>
      <c r="M345" s="4744"/>
      <c r="N345" s="28" t="s">
        <v>6479</v>
      </c>
      <c r="O345" s="202"/>
      <c r="P345" s="299"/>
      <c r="Q345" s="25"/>
      <c r="R345" s="4740"/>
      <c r="S345" s="4740"/>
      <c r="T345" s="25"/>
    </row>
    <row r="346" spans="1:20" s="47" customFormat="1" ht="12.75" customHeight="1">
      <c r="A346" s="25"/>
      <c r="B346" s="28" t="s">
        <v>6685</v>
      </c>
      <c r="C346" s="13" t="s">
        <v>6971</v>
      </c>
      <c r="D346" s="25"/>
      <c r="E346" s="25"/>
      <c r="F346" s="25"/>
      <c r="G346" s="25"/>
      <c r="H346" s="25"/>
      <c r="I346" s="25"/>
      <c r="J346" s="25"/>
      <c r="K346" s="25"/>
      <c r="L346" s="4744"/>
      <c r="M346" s="4744"/>
      <c r="N346" s="28" t="s">
        <v>6685</v>
      </c>
      <c r="O346" s="202"/>
      <c r="P346" s="299"/>
      <c r="Q346" s="25"/>
      <c r="R346" s="4740"/>
      <c r="S346" s="4740"/>
      <c r="T346" s="25"/>
    </row>
    <row r="347" spans="1:20" s="47" customFormat="1" ht="33.75" customHeight="1">
      <c r="A347" s="25"/>
      <c r="B347" s="84" t="s">
        <v>6874</v>
      </c>
      <c r="C347" s="4385" t="s">
        <v>6972</v>
      </c>
      <c r="D347" s="4385"/>
      <c r="E347" s="4385"/>
      <c r="F347" s="4385"/>
      <c r="G347" s="4385"/>
      <c r="H347" s="4385"/>
      <c r="I347" s="4385"/>
      <c r="J347" s="4385"/>
      <c r="K347" s="4385"/>
      <c r="L347" s="4385"/>
      <c r="M347" s="4385"/>
      <c r="N347" s="84" t="s">
        <v>6874</v>
      </c>
      <c r="O347" s="2595"/>
      <c r="P347" s="2593"/>
      <c r="Q347" s="25"/>
      <c r="R347" s="25"/>
      <c r="S347" s="25"/>
      <c r="T347" s="25"/>
    </row>
    <row r="348" spans="1:20" ht="3" customHeight="1" thickBot="1">
      <c r="C348" s="4385"/>
      <c r="D348" s="4385"/>
      <c r="E348" s="4385"/>
      <c r="F348" s="4385"/>
      <c r="G348" s="4385"/>
      <c r="H348" s="4385"/>
      <c r="I348" s="4385"/>
      <c r="J348" s="4385"/>
      <c r="K348" s="4385"/>
      <c r="L348" s="4385"/>
      <c r="M348" s="4385"/>
      <c r="N348" s="58"/>
    </row>
    <row r="349" spans="1:20" ht="12.75" customHeight="1" thickBot="1">
      <c r="A349" s="589" t="s">
        <v>185</v>
      </c>
      <c r="B349" s="92" t="s">
        <v>1756</v>
      </c>
      <c r="L349" s="209" t="str">
        <f>IF(O349&lt;=M349,"","* * Check Score! * *")</f>
        <v/>
      </c>
      <c r="M349" s="2525">
        <v>3</v>
      </c>
      <c r="N349" s="28" t="s">
        <v>185</v>
      </c>
      <c r="O349" s="1090"/>
      <c r="P349" s="1091"/>
      <c r="Q349" s="586" t="str">
        <f>IF(O349&lt;=M349,"","*CHECK!*")</f>
        <v/>
      </c>
      <c r="R349" s="280" t="s">
        <v>6813</v>
      </c>
      <c r="S349" s="280"/>
      <c r="T349" s="965"/>
    </row>
    <row r="350" spans="1:20" ht="12.75" customHeight="1">
      <c r="A350" s="589"/>
      <c r="B350" s="500" t="s">
        <v>6973</v>
      </c>
      <c r="C350" s="73"/>
      <c r="D350" s="73"/>
      <c r="E350" s="73"/>
      <c r="F350" s="73"/>
      <c r="G350" s="73"/>
      <c r="H350" s="73"/>
      <c r="I350" s="73"/>
      <c r="N350"/>
      <c r="O350" s="942"/>
      <c r="P350" s="941"/>
      <c r="R350" s="280"/>
      <c r="S350" s="280"/>
      <c r="T350" s="965"/>
    </row>
    <row r="351" spans="1:20" ht="12.75" customHeight="1">
      <c r="A351" s="589"/>
      <c r="B351" s="1330" t="s">
        <v>6974</v>
      </c>
      <c r="C351" s="73"/>
      <c r="D351" s="73"/>
      <c r="E351" s="73"/>
      <c r="F351" s="73"/>
      <c r="G351" s="73"/>
      <c r="H351" s="73"/>
      <c r="I351" s="73"/>
      <c r="J351" s="4737" t="s">
        <v>1758</v>
      </c>
      <c r="K351" s="4737"/>
      <c r="M351" s="4737" t="s">
        <v>1758</v>
      </c>
      <c r="N351" s="4737"/>
      <c r="O351" s="4737"/>
      <c r="P351" s="4737"/>
      <c r="R351" s="1251"/>
      <c r="S351" s="1251"/>
      <c r="T351" s="965"/>
    </row>
    <row r="352" spans="1:20" s="19" customFormat="1" ht="12.75" customHeight="1">
      <c r="A352" s="102"/>
      <c r="B352" s="101" t="s">
        <v>6975</v>
      </c>
      <c r="C352" s="13" t="s">
        <v>1759</v>
      </c>
      <c r="I352" s="28" t="s">
        <v>6477</v>
      </c>
      <c r="J352" s="4828"/>
      <c r="K352" s="4829"/>
      <c r="L352" s="28" t="s">
        <v>6477</v>
      </c>
      <c r="M352" s="4697"/>
      <c r="N352" s="4698"/>
      <c r="O352" s="4698"/>
      <c r="P352" s="4699"/>
      <c r="R352" s="209"/>
    </row>
    <row r="353" spans="1:18" ht="12.75" customHeight="1">
      <c r="A353" s="103"/>
      <c r="B353" s="84" t="s">
        <v>6479</v>
      </c>
      <c r="C353" s="13" t="s">
        <v>1760</v>
      </c>
      <c r="I353" s="84" t="s">
        <v>6479</v>
      </c>
      <c r="J353" s="4692"/>
      <c r="K353" s="4693"/>
      <c r="L353" s="84" t="s">
        <v>6479</v>
      </c>
      <c r="M353" s="4694"/>
      <c r="N353" s="4695"/>
      <c r="O353" s="4695"/>
      <c r="P353" s="4696"/>
      <c r="R353" s="209"/>
    </row>
    <row r="354" spans="1:18" ht="12.75" customHeight="1">
      <c r="B354" s="28" t="s">
        <v>6685</v>
      </c>
      <c r="C354" s="13" t="s">
        <v>6976</v>
      </c>
      <c r="I354" s="28" t="s">
        <v>6685</v>
      </c>
      <c r="J354" s="4692"/>
      <c r="K354" s="4693"/>
      <c r="L354" s="28" t="s">
        <v>6685</v>
      </c>
      <c r="M354" s="4694"/>
      <c r="N354" s="4695"/>
      <c r="O354" s="4695"/>
      <c r="P354" s="4696"/>
      <c r="R354" s="209"/>
    </row>
    <row r="355" spans="1:18" ht="12.75" customHeight="1">
      <c r="A355" s="103"/>
      <c r="B355" s="28" t="s">
        <v>6874</v>
      </c>
      <c r="C355" s="13" t="s">
        <v>1763</v>
      </c>
      <c r="I355" s="28" t="s">
        <v>6874</v>
      </c>
      <c r="J355" s="4692"/>
      <c r="K355" s="4693"/>
      <c r="L355" s="28" t="s">
        <v>6874</v>
      </c>
      <c r="M355" s="4694"/>
      <c r="N355" s="4695"/>
      <c r="O355" s="4695"/>
      <c r="P355" s="4696"/>
      <c r="R355" s="209"/>
    </row>
    <row r="356" spans="1:18" s="19" customFormat="1" ht="12.75" customHeight="1">
      <c r="A356" s="102"/>
      <c r="B356" s="84" t="s">
        <v>6698</v>
      </c>
      <c r="C356" s="13" t="s">
        <v>1764</v>
      </c>
      <c r="I356" s="84" t="s">
        <v>6698</v>
      </c>
      <c r="J356" s="4692"/>
      <c r="K356" s="4693"/>
      <c r="L356" s="84" t="s">
        <v>6698</v>
      </c>
      <c r="M356" s="4694"/>
      <c r="N356" s="4695"/>
      <c r="O356" s="4695"/>
      <c r="P356" s="4696"/>
      <c r="R356" s="209"/>
    </row>
    <row r="357" spans="1:18" ht="12.75" customHeight="1">
      <c r="B357" s="28" t="s">
        <v>6701</v>
      </c>
      <c r="C357" s="13" t="s">
        <v>1765</v>
      </c>
      <c r="I357" s="28" t="s">
        <v>6701</v>
      </c>
      <c r="J357" s="4692"/>
      <c r="K357" s="4693"/>
      <c r="L357" s="28" t="s">
        <v>6701</v>
      </c>
      <c r="M357" s="4694"/>
      <c r="N357" s="4695"/>
      <c r="O357" s="4695"/>
      <c r="P357" s="4696"/>
      <c r="R357" s="209"/>
    </row>
    <row r="358" spans="1:18" ht="12.75" customHeight="1">
      <c r="B358" s="28" t="s">
        <v>6977</v>
      </c>
      <c r="C358" s="13" t="s">
        <v>1766</v>
      </c>
      <c r="I358" s="28" t="s">
        <v>6977</v>
      </c>
      <c r="J358" s="4692"/>
      <c r="K358" s="4693"/>
      <c r="L358" s="28" t="s">
        <v>6977</v>
      </c>
      <c r="M358" s="2608"/>
      <c r="N358" s="2609"/>
      <c r="O358" s="2609"/>
      <c r="P358" s="2610"/>
      <c r="R358" s="209"/>
    </row>
    <row r="359" spans="1:18" ht="12.75" customHeight="1">
      <c r="A359" s="103"/>
      <c r="B359" s="28" t="s">
        <v>6978</v>
      </c>
      <c r="C359" s="13" t="s">
        <v>1767</v>
      </c>
      <c r="I359" s="28" t="s">
        <v>6978</v>
      </c>
      <c r="J359" s="4692"/>
      <c r="K359" s="4693"/>
      <c r="L359" s="28" t="s">
        <v>6978</v>
      </c>
      <c r="M359" s="4694"/>
      <c r="N359" s="4695"/>
      <c r="O359" s="4695"/>
      <c r="P359" s="4696"/>
      <c r="R359" s="209"/>
    </row>
    <row r="360" spans="1:18" ht="12.75" customHeight="1">
      <c r="B360" s="28" t="s">
        <v>6705</v>
      </c>
      <c r="C360" s="13" t="s">
        <v>6979</v>
      </c>
      <c r="I360" s="28" t="s">
        <v>6705</v>
      </c>
      <c r="J360" s="4692"/>
      <c r="K360" s="4693"/>
      <c r="L360" s="28" t="s">
        <v>6705</v>
      </c>
      <c r="M360" s="4694"/>
      <c r="N360" s="4695"/>
      <c r="O360" s="4695"/>
      <c r="P360" s="4696"/>
      <c r="R360" s="209"/>
    </row>
    <row r="361" spans="1:18" ht="12.75" customHeight="1">
      <c r="B361" s="28" t="s">
        <v>6980</v>
      </c>
      <c r="C361" s="13" t="s">
        <v>6981</v>
      </c>
      <c r="I361" s="28" t="s">
        <v>6980</v>
      </c>
      <c r="J361" s="4692"/>
      <c r="K361" s="4693"/>
      <c r="L361" s="28" t="s">
        <v>6980</v>
      </c>
      <c r="M361" s="4694"/>
      <c r="N361" s="4695"/>
      <c r="O361" s="4695"/>
      <c r="P361" s="4696"/>
      <c r="R361" s="209"/>
    </row>
    <row r="362" spans="1:18" ht="12.75" customHeight="1" thickBot="1">
      <c r="B362" s="28" t="s">
        <v>6982</v>
      </c>
      <c r="C362" s="13" t="s">
        <v>6983</v>
      </c>
      <c r="I362" s="28" t="s">
        <v>6982</v>
      </c>
      <c r="J362" s="4692"/>
      <c r="K362" s="4693"/>
      <c r="L362" s="28" t="s">
        <v>6982</v>
      </c>
      <c r="M362" s="4730"/>
      <c r="N362" s="4731"/>
      <c r="O362" s="4731"/>
      <c r="P362" s="4732"/>
      <c r="R362" s="209"/>
    </row>
    <row r="363" spans="1:18" ht="12.75" customHeight="1" thickBot="1">
      <c r="B363" s="658" t="s">
        <v>6984</v>
      </c>
      <c r="H363" s="56" t="s">
        <v>1772</v>
      </c>
      <c r="J363" s="4824">
        <f>SUM(J352:K362)</f>
        <v>0</v>
      </c>
      <c r="K363" s="4825"/>
      <c r="M363" s="4824">
        <f>SUM($M352:$M362)</f>
        <v>0</v>
      </c>
      <c r="N363" s="4827"/>
      <c r="O363" s="4827"/>
      <c r="P363" s="4825"/>
      <c r="R363" s="209"/>
    </row>
    <row r="364" spans="1:18" ht="6" customHeight="1">
      <c r="M364" s="280"/>
      <c r="N364" s="280"/>
      <c r="O364" s="77"/>
      <c r="P364" s="280"/>
    </row>
    <row r="365" spans="1:18" s="19" customFormat="1" ht="12" customHeight="1">
      <c r="A365" s="43"/>
      <c r="B365" s="823" t="s">
        <v>208</v>
      </c>
      <c r="C365" s="287" t="s">
        <v>1775</v>
      </c>
      <c r="D365" s="142"/>
      <c r="E365" s="142"/>
      <c r="F365" s="16" t="s">
        <v>1776</v>
      </c>
      <c r="H365"/>
      <c r="I365"/>
      <c r="J365" s="4709" t="e">
        <f>#REF!</f>
        <v>#REF!</v>
      </c>
      <c r="K365" s="4710"/>
      <c r="L365" s="305"/>
      <c r="M365" s="280"/>
      <c r="N365" s="280"/>
      <c r="O365" s="641"/>
      <c r="P365" s="280"/>
    </row>
    <row r="366" spans="1:18" ht="13.5" customHeight="1">
      <c r="C366" s="142"/>
      <c r="D366" s="142"/>
      <c r="E366" s="142"/>
      <c r="F366" s="243" t="s">
        <v>1778</v>
      </c>
      <c r="J366" s="4707" t="e">
        <f>IF(J365=0,0,J363/J365)</f>
        <v>#REF!</v>
      </c>
      <c r="K366" s="4708"/>
      <c r="M366" s="4830" t="e">
        <f>IF($J365=0,0,$M363/$J365)</f>
        <v>#REF!</v>
      </c>
      <c r="N366" s="4831"/>
      <c r="O366" s="4831"/>
      <c r="P366" s="4832"/>
    </row>
    <row r="367" spans="1:18" s="19" customFormat="1" ht="12.75" customHeight="1">
      <c r="C367" s="142"/>
      <c r="D367" s="142"/>
      <c r="E367" s="142"/>
      <c r="F367" s="25" t="s">
        <v>1782</v>
      </c>
      <c r="I367"/>
      <c r="J367" s="4704">
        <f>IF(L344="", IF($J366&gt;=30000, 3,IF($J366&gt;=20000, 2,IF($J366&gt;=10000,1,0))),0)</f>
        <v>0</v>
      </c>
      <c r="K367" s="4706"/>
      <c r="L367" s="285"/>
      <c r="M367" s="4704">
        <f>IF(R344="", IF($M366&gt;=30000, 3,IF($M366&gt;=20000, 2,IF($M366&gt;=10000,1,0))),0)</f>
        <v>0</v>
      </c>
      <c r="N367" s="4705"/>
      <c r="O367" s="4705"/>
      <c r="P367" s="4706"/>
    </row>
    <row r="368" spans="1:18" ht="9" customHeight="1" thickBot="1">
      <c r="N368" s="58"/>
    </row>
    <row r="369" spans="1:22" s="42" customFormat="1" ht="12.75" customHeight="1" thickBot="1">
      <c r="A369" s="501" t="s">
        <v>197</v>
      </c>
      <c r="B369" s="104" t="s">
        <v>6985</v>
      </c>
      <c r="D369" s="13"/>
      <c r="E369" s="13"/>
      <c r="F369" s="2542"/>
      <c r="H369" s="13"/>
      <c r="I369" s="2542"/>
      <c r="J369" s="16"/>
      <c r="K369" s="16"/>
      <c r="L369" s="209" t="str">
        <f>IF(OR($O369=$M369,$O369=0,$O369=""),"","* * Check Score! * *")</f>
        <v/>
      </c>
      <c r="M369" s="2525">
        <v>1</v>
      </c>
      <c r="N369" s="28" t="s">
        <v>197</v>
      </c>
      <c r="O369" s="648"/>
      <c r="P369" s="642"/>
      <c r="Q369" s="585" t="s">
        <v>6813</v>
      </c>
      <c r="V369" s="610"/>
    </row>
    <row r="370" spans="1:22" s="19" customFormat="1" ht="22.5" customHeight="1">
      <c r="A370" s="72"/>
      <c r="B370" s="244" t="s">
        <v>200</v>
      </c>
      <c r="C370" s="4385" t="s">
        <v>6986</v>
      </c>
      <c r="D370" s="4385"/>
      <c r="E370" s="4385"/>
      <c r="F370" s="4385"/>
      <c r="G370" s="4385"/>
      <c r="H370" s="4385"/>
      <c r="I370" s="4385"/>
      <c r="J370" s="4385"/>
      <c r="K370" s="4385"/>
      <c r="L370" s="4385"/>
      <c r="M370" s="4385"/>
      <c r="N370" s="266" t="s">
        <v>200</v>
      </c>
      <c r="O370" s="2600"/>
      <c r="P370" s="2598"/>
      <c r="V370" s="610"/>
    </row>
    <row r="371" spans="1:22" s="19" customFormat="1" ht="12.75" customHeight="1">
      <c r="A371" s="72"/>
      <c r="B371" s="208" t="s">
        <v>208</v>
      </c>
      <c r="C371" s="13" t="s">
        <v>6987</v>
      </c>
      <c r="D371" s="13"/>
      <c r="E371" s="13"/>
      <c r="F371" s="13"/>
      <c r="G371" s="13"/>
      <c r="H371" s="13"/>
      <c r="I371" s="13"/>
      <c r="J371" s="13"/>
      <c r="K371" s="13"/>
      <c r="M371" s="13"/>
      <c r="N371" s="242" t="s">
        <v>208</v>
      </c>
      <c r="O371" s="202"/>
      <c r="P371" s="299"/>
      <c r="V371" s="610"/>
    </row>
    <row r="372" spans="1:22" ht="12.75" customHeight="1">
      <c r="B372" s="208" t="s">
        <v>212</v>
      </c>
      <c r="C372" s="25" t="s">
        <v>6988</v>
      </c>
      <c r="N372" s="242" t="s">
        <v>212</v>
      </c>
      <c r="O372" s="118"/>
      <c r="P372" s="300"/>
    </row>
    <row r="373" spans="1:22" ht="12" customHeight="1" thickBot="1">
      <c r="B373" s="672" t="s">
        <v>6825</v>
      </c>
      <c r="N373" s="58"/>
    </row>
    <row r="374" spans="1:22" s="19" customFormat="1" ht="21.75" customHeight="1" thickTop="1" thickBot="1">
      <c r="A374" s="4682"/>
      <c r="B374" s="4683"/>
      <c r="C374" s="4683"/>
      <c r="D374" s="4683"/>
      <c r="E374" s="4683"/>
      <c r="F374" s="4683"/>
      <c r="G374" s="4683"/>
      <c r="H374" s="4683"/>
      <c r="I374" s="4683"/>
      <c r="J374" s="4683"/>
      <c r="K374" s="4683"/>
      <c r="L374" s="4683"/>
      <c r="M374" s="4683"/>
      <c r="N374" s="4683"/>
      <c r="O374" s="4683"/>
      <c r="P374" s="4684"/>
      <c r="Q374" s="249" t="s">
        <v>6410</v>
      </c>
    </row>
    <row r="375" spans="1:22" s="42" customFormat="1" ht="11.25" customHeight="1" thickTop="1">
      <c r="A375" s="43"/>
      <c r="B375" s="282" t="s">
        <v>1452</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86"/>
      <c r="B376" s="4387"/>
      <c r="C376" s="4387"/>
      <c r="D376" s="4387"/>
      <c r="E376" s="4387"/>
      <c r="F376" s="4387"/>
      <c r="G376" s="4387"/>
      <c r="H376" s="4387"/>
      <c r="I376" s="4387"/>
      <c r="J376" s="4387"/>
      <c r="K376" s="4387"/>
      <c r="L376" s="4387"/>
      <c r="M376" s="4387"/>
      <c r="N376" s="4387"/>
      <c r="O376" s="4387"/>
      <c r="P376" s="4388"/>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1582</v>
      </c>
      <c r="B378" s="50" t="s">
        <v>1954</v>
      </c>
      <c r="D378" s="16"/>
      <c r="G378" s="27" t="s">
        <v>6989</v>
      </c>
      <c r="I378" s="1036" t="s">
        <v>6904</v>
      </c>
      <c r="J378" s="1035" t="e">
        <f>IF(OR($M$34="9% Credit Competitive Round only", $M$34="9% Credit &amp; HOME"),"9%",IF(OR($M$34="4% Credit/TE Bond", $M$34="4% Credit/TE Bond &amp; HOME", $M$34="4% Credit/TE Bond &amp; HOME NOFA", $M$34="4% Credit &amp; NHTF", $M$34="4% Credit &amp; NHTF &amp; HOME"),"4%",""))</f>
        <v>#REF!</v>
      </c>
      <c r="K378" s="1036" t="s">
        <v>806</v>
      </c>
      <c r="L378" s="1035" t="str">
        <f>M55</f>
        <v>&lt;&lt; Select Activity Type &gt;&gt;</v>
      </c>
      <c r="M378" s="2542">
        <v>2</v>
      </c>
      <c r="N378" s="28"/>
      <c r="O378" s="630">
        <f>MIN($M378,O382+O389)</f>
        <v>0</v>
      </c>
      <c r="P378" s="647">
        <f>MIN($M378,P382+P389)</f>
        <v>0</v>
      </c>
      <c r="Q378" s="53" t="s">
        <v>1744</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1955</v>
      </c>
      <c r="D380" s="3904" t="s">
        <v>1956</v>
      </c>
      <c r="E380" s="3905"/>
      <c r="F380" s="3905"/>
      <c r="G380" s="3905"/>
      <c r="H380" s="3905"/>
      <c r="I380" s="3906"/>
      <c r="J380" s="73" t="s">
        <v>6990</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185</v>
      </c>
      <c r="B382" s="38" t="s">
        <v>1957</v>
      </c>
      <c r="C382" s="73"/>
      <c r="D382" s="73"/>
      <c r="E382" s="73"/>
      <c r="F382" s="73"/>
      <c r="G382" s="73"/>
      <c r="H382" s="73"/>
      <c r="I382" s="73"/>
      <c r="M382" s="1260">
        <v>2</v>
      </c>
      <c r="N382" s="84" t="s">
        <v>185</v>
      </c>
      <c r="O382" s="2976"/>
      <c r="P382" s="2987"/>
      <c r="Q382" s="586" t="str">
        <f>IF(OR($O382=$M382,$O382=0,$O382=""),"","*CHECK!*")</f>
        <v/>
      </c>
      <c r="R382" s="585" t="s">
        <v>6813</v>
      </c>
    </row>
    <row r="383" spans="1:22" s="228" customFormat="1" ht="12" customHeight="1">
      <c r="A383" s="227"/>
      <c r="B383" s="4525" t="s">
        <v>6991</v>
      </c>
      <c r="C383" s="4525"/>
      <c r="D383" s="4525"/>
      <c r="E383" s="4525"/>
      <c r="F383" s="4525"/>
      <c r="G383" s="4525"/>
      <c r="H383" s="4525"/>
      <c r="I383" s="4525"/>
      <c r="J383" s="4525"/>
      <c r="K383" s="4525"/>
      <c r="L383" s="4525"/>
      <c r="M383" s="4729" t="s">
        <v>6992</v>
      </c>
      <c r="N383" s="4729"/>
      <c r="Q383" s="98"/>
    </row>
    <row r="384" spans="1:22" s="228" customFormat="1" ht="12" customHeight="1">
      <c r="B384" s="4525"/>
      <c r="C384" s="4525"/>
      <c r="D384" s="4525"/>
      <c r="E384" s="4525"/>
      <c r="F384" s="4525"/>
      <c r="G384" s="4525"/>
      <c r="H384" s="4525"/>
      <c r="I384" s="4525"/>
      <c r="J384" s="4525"/>
      <c r="K384" s="4525"/>
      <c r="L384" s="4525"/>
      <c r="M384" s="4729"/>
      <c r="N384" s="4729"/>
      <c r="O384" s="4735" t="e">
        <f>#REF!</f>
        <v>#REF!</v>
      </c>
      <c r="P384" s="4736"/>
      <c r="Q384" s="98"/>
    </row>
    <row r="385" spans="1:19" s="228" customFormat="1" ht="12" customHeight="1">
      <c r="B385" s="4525"/>
      <c r="C385" s="4525"/>
      <c r="D385" s="4525"/>
      <c r="E385" s="4525"/>
      <c r="F385" s="4525"/>
      <c r="G385" s="4525"/>
      <c r="H385" s="4525"/>
      <c r="I385" s="4525"/>
      <c r="J385" s="4525"/>
      <c r="K385" s="4525"/>
      <c r="L385" s="4525"/>
      <c r="M385" s="150" t="s">
        <v>6993</v>
      </c>
      <c r="N385" s="2403"/>
      <c r="O385" s="4733" t="e">
        <f>#REF!</f>
        <v>#REF!</v>
      </c>
      <c r="P385" s="4734"/>
      <c r="Q385" s="98"/>
    </row>
    <row r="386" spans="1:19" s="228" customFormat="1" ht="12" customHeight="1">
      <c r="B386" s="4726"/>
      <c r="C386" s="4726"/>
      <c r="D386" s="4726"/>
      <c r="E386" s="4726"/>
      <c r="F386" s="4726"/>
      <c r="G386" s="4726"/>
      <c r="H386" s="4726"/>
      <c r="I386" s="4726"/>
      <c r="J386" s="4726"/>
      <c r="K386" s="4726"/>
      <c r="L386" s="4726"/>
      <c r="M386" s="824" t="s">
        <v>6994</v>
      </c>
      <c r="N386" s="2403"/>
      <c r="O386" s="4727" t="e">
        <f>IF(O385=0,0,O384/O385)</f>
        <v>#REF!</v>
      </c>
      <c r="P386" s="4728"/>
      <c r="Q386" s="98"/>
    </row>
    <row r="387" spans="1:19" s="19" customFormat="1" ht="105.75" customHeight="1">
      <c r="A387" s="295"/>
      <c r="B387" s="4519" t="s">
        <v>1958</v>
      </c>
      <c r="C387" s="4520"/>
      <c r="D387" s="4520"/>
      <c r="E387" s="4520"/>
      <c r="F387" s="4520"/>
      <c r="G387" s="4520"/>
      <c r="H387" s="4520"/>
      <c r="I387" s="4520"/>
      <c r="J387" s="4520"/>
      <c r="K387" s="4520"/>
      <c r="L387" s="4520"/>
      <c r="M387" s="4520"/>
      <c r="N387" s="4520"/>
      <c r="O387" s="4520"/>
      <c r="P387" s="4521"/>
      <c r="Q387" s="248" t="s">
        <v>6410</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6995</v>
      </c>
      <c r="B389" s="65" t="s">
        <v>1959</v>
      </c>
      <c r="C389" s="73"/>
      <c r="H389" s="73"/>
      <c r="M389" s="2403">
        <v>2</v>
      </c>
      <c r="N389" s="84" t="s">
        <v>197</v>
      </c>
      <c r="O389" s="2976"/>
      <c r="P389" s="2987"/>
      <c r="Q389" s="586" t="str">
        <f>IF(OR($O389=$M389,$O389=0,$O389=""),"","*CHECK!*")</f>
        <v/>
      </c>
      <c r="R389" s="585" t="s">
        <v>6813</v>
      </c>
    </row>
    <row r="390" spans="1:19" s="228" customFormat="1" ht="11.25" customHeight="1">
      <c r="A390" s="296"/>
      <c r="B390" s="73" t="s">
        <v>6996</v>
      </c>
      <c r="C390" s="73"/>
      <c r="D390" s="73"/>
      <c r="E390" s="73"/>
      <c r="F390" s="73"/>
      <c r="G390" s="73"/>
      <c r="H390" s="73"/>
      <c r="I390" s="73"/>
      <c r="J390" s="73"/>
      <c r="K390" s="73"/>
      <c r="L390" s="73"/>
      <c r="Q390" s="98"/>
    </row>
    <row r="391" spans="1:19" s="228" customFormat="1" ht="11.25" customHeight="1">
      <c r="A391" s="296"/>
      <c r="E391" s="1256"/>
      <c r="G391" s="857" t="s">
        <v>6997</v>
      </c>
      <c r="H391" s="2988" t="e">
        <f>#REF!</f>
        <v>#REF!</v>
      </c>
      <c r="I391" s="678" t="s">
        <v>6993</v>
      </c>
      <c r="J391" s="2986" t="e">
        <f>#REF!</f>
        <v>#REF!</v>
      </c>
      <c r="K391" s="1258" t="s">
        <v>6994</v>
      </c>
      <c r="L391" s="2989" t="e">
        <f>IF(J391=0,0,H391/J391)</f>
        <v>#REF!</v>
      </c>
      <c r="N391" s="1257"/>
      <c r="Q391" s="98"/>
    </row>
    <row r="392" spans="1:19" s="19" customFormat="1" ht="11.25" customHeight="1" thickBot="1">
      <c r="A392" s="43"/>
      <c r="B392" s="672" t="s">
        <v>6825</v>
      </c>
      <c r="C392" s="43"/>
      <c r="D392" s="48"/>
      <c r="E392" s="48"/>
      <c r="F392" s="48"/>
      <c r="G392" s="48"/>
      <c r="H392" s="13"/>
      <c r="I392" s="13"/>
      <c r="J392" s="13"/>
      <c r="K392" s="13"/>
      <c r="M392" s="32"/>
      <c r="N392" s="58"/>
      <c r="O392" s="2"/>
      <c r="P392" s="9"/>
    </row>
    <row r="393" spans="1:19" s="19" customFormat="1" ht="73.5" customHeight="1" thickTop="1" thickBot="1">
      <c r="A393" s="4682"/>
      <c r="B393" s="4683"/>
      <c r="C393" s="4683"/>
      <c r="D393" s="4683"/>
      <c r="E393" s="4683"/>
      <c r="F393" s="4683"/>
      <c r="G393" s="4683"/>
      <c r="H393" s="4683"/>
      <c r="I393" s="4683"/>
      <c r="J393" s="4683"/>
      <c r="K393" s="4683"/>
      <c r="L393" s="4683"/>
      <c r="M393" s="4683"/>
      <c r="N393" s="4683"/>
      <c r="O393" s="4683"/>
      <c r="P393" s="4684"/>
      <c r="Q393" s="249" t="s">
        <v>6410</v>
      </c>
      <c r="R393" s="249"/>
    </row>
    <row r="394" spans="1:19" s="19" customFormat="1" ht="10.5" customHeight="1" thickTop="1">
      <c r="B394" s="37" t="s">
        <v>1452</v>
      </c>
      <c r="C394" s="723"/>
      <c r="D394" s="37"/>
      <c r="E394" s="46"/>
      <c r="F394" s="2586"/>
      <c r="G394" s="2586"/>
      <c r="H394" s="2586"/>
      <c r="I394" s="2586"/>
      <c r="J394" s="2586"/>
      <c r="K394" s="2586"/>
      <c r="L394" s="2586"/>
      <c r="M394" s="2586"/>
      <c r="N394" s="2401"/>
      <c r="O394" s="31"/>
      <c r="P394" s="2542"/>
    </row>
    <row r="395" spans="1:19" s="19" customFormat="1" ht="22.35" customHeight="1">
      <c r="A395" s="4386"/>
      <c r="B395" s="4387"/>
      <c r="C395" s="4387"/>
      <c r="D395" s="4387"/>
      <c r="E395" s="4387"/>
      <c r="F395" s="4387"/>
      <c r="G395" s="4387"/>
      <c r="H395" s="4387"/>
      <c r="I395" s="4387"/>
      <c r="J395" s="4387"/>
      <c r="K395" s="4387"/>
      <c r="L395" s="4387"/>
      <c r="M395" s="4387"/>
      <c r="N395" s="4387"/>
      <c r="O395" s="4387"/>
      <c r="P395" s="4388"/>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1587</v>
      </c>
      <c r="B397" s="50" t="s">
        <v>1793</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1744</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1794</v>
      </c>
      <c r="D399" s="21"/>
      <c r="E399" s="21"/>
      <c r="F399" s="13"/>
      <c r="G399" s="13"/>
      <c r="I399" s="13"/>
      <c r="J399" s="13"/>
      <c r="K399" s="13"/>
      <c r="L399" s="209"/>
      <c r="M399" s="2542"/>
      <c r="N399" s="32"/>
      <c r="O399" s="1281">
        <v>10</v>
      </c>
      <c r="P399" s="1281">
        <v>10</v>
      </c>
      <c r="Q399" s="53"/>
    </row>
    <row r="400" spans="1:19" s="42" customFormat="1" ht="12.75" customHeight="1">
      <c r="A400" s="80"/>
      <c r="B400" s="38" t="s">
        <v>1813</v>
      </c>
      <c r="D400" s="21"/>
      <c r="E400" s="21"/>
      <c r="F400" s="13"/>
      <c r="G400" s="13"/>
      <c r="I400" s="13"/>
      <c r="J400" s="13"/>
      <c r="K400" s="13"/>
      <c r="L400" s="209"/>
      <c r="M400" s="2542"/>
      <c r="N400" s="32"/>
      <c r="O400" s="650"/>
      <c r="P400" s="2618"/>
      <c r="Q400" s="53"/>
    </row>
    <row r="401" spans="1:21" s="42" customFormat="1" ht="12.75" customHeight="1">
      <c r="A401" s="80"/>
      <c r="B401" s="38" t="s">
        <v>6998</v>
      </c>
      <c r="D401" s="21"/>
      <c r="E401" s="21"/>
      <c r="F401" s="13"/>
      <c r="G401" s="13"/>
      <c r="I401" s="13"/>
      <c r="J401" s="13"/>
      <c r="K401" s="13"/>
      <c r="L401" s="209"/>
      <c r="M401" s="2542"/>
      <c r="N401" s="32"/>
      <c r="O401" s="505"/>
      <c r="P401" s="298"/>
      <c r="Q401" s="53"/>
    </row>
    <row r="402" spans="1:21" s="42" customFormat="1" ht="12.75" customHeight="1">
      <c r="A402" s="23"/>
      <c r="B402" s="23" t="s">
        <v>1452</v>
      </c>
      <c r="C402" s="43"/>
      <c r="D402" s="23"/>
      <c r="E402" s="2590"/>
      <c r="F402" s="2590"/>
      <c r="G402" s="2590"/>
      <c r="H402" s="2590"/>
      <c r="I402" s="2590"/>
      <c r="J402" s="2590"/>
      <c r="K402" s="2590"/>
      <c r="L402" s="2590"/>
      <c r="M402" s="2590"/>
      <c r="N402" s="2402"/>
      <c r="O402" s="493"/>
      <c r="P402" s="2542"/>
    </row>
    <row r="403" spans="1:21" s="19" customFormat="1" ht="12.75" customHeight="1">
      <c r="A403" s="4386"/>
      <c r="B403" s="4387"/>
      <c r="C403" s="4387"/>
      <c r="D403" s="4387"/>
      <c r="E403" s="4387"/>
      <c r="F403" s="4387"/>
      <c r="G403" s="4387"/>
      <c r="H403" s="4387"/>
      <c r="I403" s="4387"/>
      <c r="J403" s="4387"/>
      <c r="K403" s="4387"/>
      <c r="L403" s="4387"/>
      <c r="M403" s="4387"/>
      <c r="N403" s="4387"/>
      <c r="O403" s="4387"/>
      <c r="P403" s="4388"/>
      <c r="Q403" s="249" t="s">
        <v>6410</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1593</v>
      </c>
      <c r="B405" s="50" t="s">
        <v>1800</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1744</v>
      </c>
      <c r="R405" s="585"/>
    </row>
    <row r="406" spans="1:21" s="19" customFormat="1" ht="9" customHeight="1">
      <c r="A406" s="80"/>
      <c r="B406" s="13" t="s">
        <v>6999</v>
      </c>
      <c r="C406" s="2586"/>
      <c r="D406" s="2586"/>
      <c r="E406" s="2586"/>
      <c r="F406" s="2586"/>
      <c r="G406" s="2586"/>
      <c r="H406" s="2586"/>
      <c r="I406" s="2586"/>
      <c r="J406" s="2586"/>
      <c r="K406" s="2586"/>
      <c r="L406" s="2586"/>
      <c r="M406" s="2586"/>
      <c r="N406" s="2401"/>
      <c r="O406" s="31"/>
      <c r="P406" s="2542"/>
    </row>
    <row r="407" spans="1:21" s="19" customFormat="1" ht="12" customHeight="1">
      <c r="A407" s="501" t="s">
        <v>185</v>
      </c>
      <c r="B407" s="92" t="s">
        <v>7000</v>
      </c>
      <c r="C407" s="11"/>
      <c r="D407" s="42"/>
      <c r="E407" s="38"/>
      <c r="F407" s="13"/>
      <c r="G407" s="13"/>
      <c r="H407" s="13"/>
      <c r="I407" s="42"/>
      <c r="J407" s="42"/>
      <c r="K407" s="2596"/>
      <c r="L407" s="1354"/>
      <c r="M407" s="2525">
        <v>1</v>
      </c>
      <c r="N407" s="1116" t="s">
        <v>185</v>
      </c>
      <c r="O407" s="2980"/>
      <c r="P407" s="2981"/>
      <c r="Q407" s="586" t="str">
        <f>IF(OR($O407=$M407,$O407=0,$O407=""),"","*CHECK!*")</f>
        <v/>
      </c>
      <c r="R407" s="585" t="s">
        <v>6884</v>
      </c>
    </row>
    <row r="408" spans="1:21" s="73" customFormat="1" ht="12" customHeight="1">
      <c r="A408" s="501" t="s">
        <v>197</v>
      </c>
      <c r="B408" s="92" t="s">
        <v>7001</v>
      </c>
      <c r="C408" s="68"/>
      <c r="D408" s="68"/>
      <c r="E408" s="68"/>
      <c r="F408" s="68"/>
      <c r="G408" s="13"/>
      <c r="H408" s="68"/>
      <c r="I408" s="68"/>
      <c r="J408" s="68"/>
      <c r="K408" s="68"/>
      <c r="L408" s="68"/>
      <c r="M408" s="2525">
        <v>1</v>
      </c>
      <c r="N408" s="1116" t="s">
        <v>197</v>
      </c>
      <c r="O408" s="2606"/>
      <c r="P408" s="2616"/>
      <c r="Q408" s="586" t="str">
        <f>IF(OR($O408=$M408,$O408=0,$O408=""),"","*CHECK!*")</f>
        <v/>
      </c>
      <c r="R408" s="585" t="s">
        <v>6884</v>
      </c>
    </row>
    <row r="409" spans="1:21" ht="12" customHeight="1">
      <c r="A409" s="501" t="s">
        <v>218</v>
      </c>
      <c r="B409" s="92" t="s">
        <v>1810</v>
      </c>
      <c r="C409" s="11"/>
      <c r="D409" s="11"/>
      <c r="E409" s="11"/>
      <c r="F409" s="11"/>
      <c r="G409" s="11"/>
      <c r="H409" s="11"/>
      <c r="I409" s="11"/>
      <c r="J409" s="11"/>
      <c r="K409" s="11"/>
      <c r="L409" s="11"/>
      <c r="M409" s="2525">
        <v>1</v>
      </c>
      <c r="N409" s="1116" t="s">
        <v>218</v>
      </c>
      <c r="O409" s="1282"/>
      <c r="P409" s="1283"/>
      <c r="Q409" s="586" t="str">
        <f>IF(OR($O409=$M409,$O409=0,$O409=""),"","*CHECK!*")</f>
        <v/>
      </c>
      <c r="R409" s="585" t="s">
        <v>6884</v>
      </c>
      <c r="S409" s="19"/>
      <c r="T409" s="19"/>
      <c r="U409" s="19"/>
    </row>
    <row r="410" spans="1:21" s="43" customFormat="1" ht="12" customHeight="1">
      <c r="A410" s="501" t="s">
        <v>220</v>
      </c>
      <c r="B410" s="92" t="s">
        <v>7002</v>
      </c>
      <c r="H410" s="13"/>
      <c r="M410" s="2525">
        <v>2</v>
      </c>
      <c r="N410" s="1116" t="s">
        <v>220</v>
      </c>
      <c r="O410" s="2983">
        <f>O411-O412</f>
        <v>2</v>
      </c>
      <c r="P410" s="2983">
        <f>P411-P412</f>
        <v>2</v>
      </c>
      <c r="Q410" s="586" t="str">
        <f>IF(OR($O410=$M410,$O410=0,$O410=""),"","*CHECK!*")</f>
        <v/>
      </c>
    </row>
    <row r="411" spans="1:21" s="42" customFormat="1" ht="12" customHeight="1">
      <c r="A411" s="80"/>
      <c r="C411" s="38" t="s">
        <v>1794</v>
      </c>
      <c r="D411" s="21"/>
      <c r="E411" s="21"/>
      <c r="I411" s="13"/>
      <c r="J411" s="13"/>
      <c r="K411" s="13"/>
      <c r="L411" s="209"/>
      <c r="M411" s="2542"/>
      <c r="N411" s="32"/>
      <c r="O411" s="2990">
        <v>2</v>
      </c>
      <c r="P411" s="2990">
        <v>2</v>
      </c>
      <c r="Q411" s="53"/>
    </row>
    <row r="412" spans="1:21" s="42" customFormat="1" ht="12" customHeight="1">
      <c r="A412" s="80"/>
      <c r="C412" s="38" t="s">
        <v>1813</v>
      </c>
      <c r="D412" s="21"/>
      <c r="E412" s="21"/>
      <c r="F412" s="13"/>
      <c r="G412" s="13"/>
      <c r="I412" s="13"/>
      <c r="J412" s="13"/>
      <c r="K412" s="13"/>
      <c r="L412" s="209"/>
      <c r="M412" s="2542"/>
      <c r="N412" s="32"/>
      <c r="O412" s="2991"/>
      <c r="P412" s="2977"/>
      <c r="Q412" s="53"/>
      <c r="R412" s="585" t="s">
        <v>6884</v>
      </c>
    </row>
    <row r="413" spans="1:21" s="19" customFormat="1" ht="10.5" customHeight="1" thickBot="1">
      <c r="A413" s="43"/>
      <c r="B413" s="672" t="s">
        <v>6825</v>
      </c>
      <c r="C413" s="43"/>
      <c r="D413" s="48"/>
      <c r="E413" s="48"/>
      <c r="F413" s="48"/>
      <c r="G413" s="48"/>
      <c r="H413" s="13"/>
      <c r="I413" s="13"/>
      <c r="J413" s="13"/>
      <c r="K413" s="13"/>
      <c r="M413" s="32"/>
      <c r="N413" s="58"/>
      <c r="O413" s="2"/>
      <c r="P413" s="9"/>
    </row>
    <row r="414" spans="1:21" s="19" customFormat="1" ht="45.75" customHeight="1" thickTop="1" thickBot="1">
      <c r="A414" s="4682"/>
      <c r="B414" s="4683"/>
      <c r="C414" s="4683"/>
      <c r="D414" s="4683"/>
      <c r="E414" s="4683"/>
      <c r="F414" s="4683"/>
      <c r="G414" s="4683"/>
      <c r="H414" s="4683"/>
      <c r="I414" s="4683"/>
      <c r="J414" s="4683"/>
      <c r="K414" s="4683"/>
      <c r="L414" s="4683"/>
      <c r="M414" s="4683"/>
      <c r="N414" s="4683"/>
      <c r="O414" s="4683"/>
      <c r="P414" s="4684"/>
      <c r="Q414" s="249" t="s">
        <v>6410</v>
      </c>
      <c r="R414" s="249"/>
    </row>
    <row r="415" spans="1:21" s="19" customFormat="1" ht="10.5" customHeight="1" thickTop="1">
      <c r="B415" s="37" t="s">
        <v>1452</v>
      </c>
      <c r="C415" s="723"/>
      <c r="D415" s="37"/>
      <c r="E415" s="46"/>
      <c r="F415" s="2586"/>
      <c r="G415" s="2586"/>
      <c r="H415" s="2586"/>
      <c r="I415" s="2586"/>
      <c r="J415" s="2586"/>
      <c r="K415" s="2586"/>
      <c r="L415" s="2586"/>
      <c r="M415" s="2586"/>
      <c r="N415" s="2401"/>
      <c r="O415" s="31"/>
      <c r="P415" s="2542"/>
    </row>
    <row r="416" spans="1:21" s="19" customFormat="1" ht="9.75" customHeight="1">
      <c r="A416" s="4386"/>
      <c r="B416" s="4387"/>
      <c r="C416" s="4387"/>
      <c r="D416" s="4387"/>
      <c r="E416" s="4387"/>
      <c r="F416" s="4387"/>
      <c r="G416" s="4387"/>
      <c r="H416" s="4387"/>
      <c r="I416" s="4387"/>
      <c r="J416" s="4387"/>
      <c r="K416" s="4387"/>
      <c r="L416" s="4387"/>
      <c r="M416" s="4387"/>
      <c r="N416" s="4387"/>
      <c r="O416" s="4387"/>
      <c r="P416" s="4388"/>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1597</v>
      </c>
      <c r="B418" s="50" t="s">
        <v>7003</v>
      </c>
      <c r="D418" s="21"/>
      <c r="E418" s="21"/>
      <c r="F418" s="13"/>
      <c r="L418" s="586"/>
      <c r="M418" s="2542">
        <v>6</v>
      </c>
      <c r="N418" s="32"/>
      <c r="O418" s="648"/>
      <c r="P418" s="642"/>
      <c r="Q418" s="53" t="s">
        <v>1744</v>
      </c>
      <c r="R418" s="585" t="s">
        <v>6884</v>
      </c>
    </row>
    <row r="419" spans="1:18" s="19" customFormat="1" ht="10.5" customHeight="1" thickBot="1">
      <c r="A419" s="43"/>
      <c r="B419" s="672" t="s">
        <v>6825</v>
      </c>
      <c r="C419" s="43"/>
      <c r="D419" s="48"/>
      <c r="E419" s="48"/>
      <c r="F419" s="48"/>
      <c r="G419" s="48"/>
      <c r="H419" s="13"/>
      <c r="I419" s="13"/>
      <c r="J419" s="13"/>
      <c r="K419" s="13"/>
      <c r="M419" s="32"/>
      <c r="N419" s="58"/>
      <c r="O419" s="2"/>
      <c r="P419" s="9"/>
    </row>
    <row r="420" spans="1:18" s="19" customFormat="1" ht="45.75" customHeight="1" thickTop="1" thickBot="1">
      <c r="A420" s="4682"/>
      <c r="B420" s="4683"/>
      <c r="C420" s="4683"/>
      <c r="D420" s="4683"/>
      <c r="E420" s="4683"/>
      <c r="F420" s="4683"/>
      <c r="G420" s="4683"/>
      <c r="H420" s="4683"/>
      <c r="I420" s="4683"/>
      <c r="J420" s="4683"/>
      <c r="K420" s="4683"/>
      <c r="L420" s="4683"/>
      <c r="M420" s="4683"/>
      <c r="N420" s="4683"/>
      <c r="O420" s="4683"/>
      <c r="P420" s="4684"/>
      <c r="Q420" s="249" t="s">
        <v>6410</v>
      </c>
      <c r="R420" s="249"/>
    </row>
    <row r="421" spans="1:18" s="42" customFormat="1" ht="10.5" customHeight="1" thickTop="1">
      <c r="A421" s="23"/>
      <c r="B421" s="23" t="s">
        <v>1452</v>
      </c>
      <c r="C421" s="43"/>
      <c r="D421" s="23"/>
      <c r="E421" s="2590"/>
      <c r="F421" s="2590"/>
      <c r="G421" s="2590"/>
      <c r="H421" s="2590"/>
      <c r="I421" s="2590"/>
      <c r="J421" s="2590"/>
      <c r="K421" s="2590"/>
      <c r="L421" s="2590"/>
      <c r="M421" s="2590"/>
      <c r="N421" s="2402"/>
      <c r="O421" s="493"/>
      <c r="P421" s="2542"/>
    </row>
    <row r="422" spans="1:18" s="19" customFormat="1" ht="11.1" customHeight="1">
      <c r="A422" s="4386"/>
      <c r="B422" s="4387"/>
      <c r="C422" s="4387"/>
      <c r="D422" s="4387"/>
      <c r="E422" s="4387"/>
      <c r="F422" s="4387"/>
      <c r="G422" s="4387"/>
      <c r="H422" s="4387"/>
      <c r="I422" s="4387"/>
      <c r="J422" s="4387"/>
      <c r="K422" s="4387"/>
      <c r="L422" s="4387"/>
      <c r="M422" s="4387"/>
      <c r="N422" s="4387"/>
      <c r="O422" s="4387"/>
      <c r="P422" s="4388"/>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1603</v>
      </c>
      <c r="B424" s="50" t="s">
        <v>7004</v>
      </c>
      <c r="D424" s="21"/>
      <c r="E424" s="21"/>
      <c r="F424" s="346"/>
      <c r="G424" s="13"/>
      <c r="L424" s="586" t="str">
        <f>IF(OR($O424=$M424,$O424=0,$O424=""),"","*CHECK!*")</f>
        <v/>
      </c>
      <c r="M424" s="2542">
        <v>6</v>
      </c>
      <c r="N424" s="32"/>
      <c r="O424" s="32"/>
      <c r="P424" s="642"/>
      <c r="Q424" s="53" t="s">
        <v>1744</v>
      </c>
      <c r="R424" s="585" t="s">
        <v>6884</v>
      </c>
    </row>
    <row r="425" spans="1:18" s="42" customFormat="1" ht="10.5" customHeight="1">
      <c r="A425" s="23"/>
      <c r="B425" s="23" t="s">
        <v>1452</v>
      </c>
      <c r="C425" s="43"/>
      <c r="D425" s="23"/>
      <c r="E425" s="2590"/>
      <c r="F425" s="2590"/>
      <c r="G425" s="2590"/>
      <c r="H425" s="2590"/>
      <c r="I425" s="2590"/>
      <c r="J425" s="2590"/>
      <c r="K425" s="2590"/>
      <c r="L425" s="2590"/>
      <c r="M425" s="2590"/>
      <c r="N425" s="2402"/>
      <c r="O425" s="493"/>
      <c r="P425" s="2542"/>
    </row>
    <row r="426" spans="1:18" s="19" customFormat="1" ht="11.1" customHeight="1">
      <c r="A426" s="4386"/>
      <c r="B426" s="4387"/>
      <c r="C426" s="4387"/>
      <c r="D426" s="4387"/>
      <c r="E426" s="4387"/>
      <c r="F426" s="4387"/>
      <c r="G426" s="4387"/>
      <c r="H426" s="4387"/>
      <c r="I426" s="4387"/>
      <c r="J426" s="4387"/>
      <c r="K426" s="4387"/>
      <c r="L426" s="4387"/>
      <c r="M426" s="4387"/>
      <c r="N426" s="4387"/>
      <c r="O426" s="4387"/>
      <c r="P426" s="4388"/>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1606</v>
      </c>
      <c r="B428" s="50" t="s">
        <v>7005</v>
      </c>
      <c r="D428" s="21"/>
      <c r="L428" s="586"/>
      <c r="M428" s="2542">
        <v>4</v>
      </c>
      <c r="N428" s="32"/>
      <c r="O428" s="648"/>
      <c r="P428" s="642"/>
      <c r="Q428" s="53" t="s">
        <v>1744</v>
      </c>
      <c r="R428" s="585" t="s">
        <v>6884</v>
      </c>
    </row>
    <row r="429" spans="1:18" s="19" customFormat="1" ht="10.5" customHeight="1" thickBot="1">
      <c r="A429" s="43"/>
      <c r="B429" s="672" t="s">
        <v>6825</v>
      </c>
      <c r="C429" s="43"/>
      <c r="D429" s="48"/>
      <c r="E429" s="48"/>
      <c r="F429" s="48"/>
      <c r="G429" s="48"/>
      <c r="H429" s="13"/>
      <c r="I429" s="13"/>
      <c r="J429" s="13"/>
      <c r="K429" s="13"/>
      <c r="M429" s="32"/>
      <c r="N429" s="58"/>
      <c r="O429" s="2"/>
      <c r="P429" s="9"/>
    </row>
    <row r="430" spans="1:18" s="19" customFormat="1" ht="45.75" customHeight="1" thickTop="1" thickBot="1">
      <c r="A430" s="4682"/>
      <c r="B430" s="4683"/>
      <c r="C430" s="4683"/>
      <c r="D430" s="4683"/>
      <c r="E430" s="4683"/>
      <c r="F430" s="4683"/>
      <c r="G430" s="4683"/>
      <c r="H430" s="4683"/>
      <c r="I430" s="4683"/>
      <c r="J430" s="4683"/>
      <c r="K430" s="4683"/>
      <c r="L430" s="4683"/>
      <c r="M430" s="4683"/>
      <c r="N430" s="4683"/>
      <c r="O430" s="4683"/>
      <c r="P430" s="4684"/>
      <c r="Q430" s="249" t="s">
        <v>6410</v>
      </c>
      <c r="R430" s="249"/>
    </row>
    <row r="431" spans="1:18" s="42" customFormat="1" ht="10.5" customHeight="1" thickTop="1">
      <c r="A431" s="23"/>
      <c r="B431" s="23" t="s">
        <v>1452</v>
      </c>
      <c r="C431" s="43"/>
      <c r="D431" s="23"/>
      <c r="E431" s="2590"/>
      <c r="F431" s="2590"/>
      <c r="G431" s="2590"/>
      <c r="H431" s="2590"/>
      <c r="I431" s="2590"/>
      <c r="J431" s="2590"/>
      <c r="K431" s="2590"/>
      <c r="L431" s="2590"/>
      <c r="M431" s="2590"/>
      <c r="N431" s="2402"/>
      <c r="O431" s="493"/>
      <c r="P431" s="2542"/>
    </row>
    <row r="432" spans="1:18" s="19" customFormat="1" ht="11.1" customHeight="1">
      <c r="A432" s="4386"/>
      <c r="B432" s="4387"/>
      <c r="C432" s="4387"/>
      <c r="D432" s="4387"/>
      <c r="E432" s="4387"/>
      <c r="F432" s="4387"/>
      <c r="G432" s="4387"/>
      <c r="H432" s="4387"/>
      <c r="I432" s="4387"/>
      <c r="J432" s="4387"/>
      <c r="K432" s="4387"/>
      <c r="L432" s="4387"/>
      <c r="M432" s="4387"/>
      <c r="N432" s="4387"/>
      <c r="O432" s="4387"/>
      <c r="P432" s="4388"/>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1610</v>
      </c>
      <c r="B434" s="50" t="s">
        <v>7006</v>
      </c>
      <c r="D434" s="21"/>
      <c r="G434" s="27" t="s">
        <v>6989</v>
      </c>
      <c r="L434" s="586" t="str">
        <f>IF(OR($O434&lt;=$M434,$O434=0,$O434=""),"","*CHECK!*")</f>
        <v/>
      </c>
      <c r="M434" s="2542">
        <v>6</v>
      </c>
      <c r="N434" s="32"/>
      <c r="O434" s="630">
        <f>IF(SUM(O435:O436)&gt;$M$434,"Check",SUM(O435:O436))</f>
        <v>0</v>
      </c>
      <c r="P434" s="630">
        <f>IF(SUM(P435:P436)&gt;$M$434,"Check",SUM(P435:P436))</f>
        <v>0</v>
      </c>
      <c r="Q434" s="53" t="s">
        <v>1744</v>
      </c>
      <c r="R434" s="585" t="s">
        <v>6884</v>
      </c>
    </row>
    <row r="435" spans="1:27" s="19" customFormat="1" ht="12" customHeight="1">
      <c r="A435" s="501" t="s">
        <v>185</v>
      </c>
      <c r="B435" s="92" t="s">
        <v>1976</v>
      </c>
      <c r="C435"/>
      <c r="E435" s="39"/>
      <c r="F435" s="13"/>
      <c r="G435" s="13"/>
      <c r="H435" s="13"/>
      <c r="K435" s="2596"/>
      <c r="L435" s="26"/>
      <c r="M435" s="2525">
        <v>6</v>
      </c>
      <c r="N435" s="1116" t="s">
        <v>185</v>
      </c>
      <c r="O435" s="1261"/>
      <c r="P435" s="1262"/>
      <c r="Q435" s="586" t="str">
        <f>IF(OR($O435&lt;=$M435,$O435=0,$O435=""),"","*CHECK!*")</f>
        <v/>
      </c>
      <c r="R435" s="585" t="s">
        <v>6884</v>
      </c>
    </row>
    <row r="436" spans="1:27" s="73" customFormat="1" ht="12" customHeight="1">
      <c r="A436" s="1259" t="s">
        <v>197</v>
      </c>
      <c r="B436" s="646" t="s">
        <v>1974</v>
      </c>
      <c r="C436" s="329"/>
      <c r="D436" s="329"/>
      <c r="E436" s="329"/>
      <c r="F436" s="329"/>
      <c r="H436" s="329"/>
      <c r="I436" s="329"/>
      <c r="J436" s="68"/>
      <c r="K436" s="68"/>
      <c r="L436" s="68"/>
      <c r="M436" s="2525">
        <v>4</v>
      </c>
      <c r="N436" s="1116" t="s">
        <v>197</v>
      </c>
      <c r="O436" s="293"/>
      <c r="P436" s="298"/>
      <c r="Q436" s="586" t="str">
        <f>IF(OR($O436&lt;=$M436,$O436=0,$O436=""),"","*CHECK!*")</f>
        <v/>
      </c>
      <c r="R436" s="585" t="s">
        <v>6884</v>
      </c>
    </row>
    <row r="437" spans="1:27" s="19" customFormat="1" ht="10.5" customHeight="1" thickBot="1">
      <c r="A437" s="43"/>
      <c r="B437" s="672" t="s">
        <v>6825</v>
      </c>
      <c r="C437" s="43"/>
      <c r="D437" s="48"/>
      <c r="E437" s="48"/>
      <c r="F437" s="48"/>
      <c r="G437" s="48"/>
      <c r="H437" s="13"/>
      <c r="I437" s="13"/>
      <c r="J437" s="13"/>
      <c r="K437" s="13"/>
      <c r="M437" s="32"/>
      <c r="N437" s="58"/>
      <c r="O437" s="2"/>
      <c r="P437" s="9"/>
    </row>
    <row r="438" spans="1:27" s="19" customFormat="1" ht="45.75" customHeight="1" thickTop="1" thickBot="1">
      <c r="A438" s="4682"/>
      <c r="B438" s="4683"/>
      <c r="C438" s="4683"/>
      <c r="D438" s="4683"/>
      <c r="E438" s="4683"/>
      <c r="F438" s="4683"/>
      <c r="G438" s="4683"/>
      <c r="H438" s="4683"/>
      <c r="I438" s="4683"/>
      <c r="J438" s="4683"/>
      <c r="K438" s="4683"/>
      <c r="L438" s="4683"/>
      <c r="M438" s="4683"/>
      <c r="N438" s="4683"/>
      <c r="O438" s="4683"/>
      <c r="P438" s="4684"/>
      <c r="Q438" s="249" t="s">
        <v>6410</v>
      </c>
      <c r="R438" s="249"/>
    </row>
    <row r="439" spans="1:27" s="42" customFormat="1" ht="10.5" customHeight="1" thickTop="1">
      <c r="A439" s="23"/>
      <c r="B439" s="23" t="s">
        <v>1452</v>
      </c>
      <c r="C439" s="43"/>
      <c r="D439" s="23"/>
      <c r="E439" s="2590"/>
      <c r="F439" s="2590"/>
      <c r="G439" s="2590"/>
      <c r="H439" s="2590"/>
      <c r="I439" s="2590"/>
      <c r="J439" s="2590"/>
      <c r="K439" s="2590"/>
      <c r="L439" s="2590"/>
      <c r="M439" s="2590"/>
      <c r="N439" s="2402"/>
      <c r="O439" s="493"/>
      <c r="P439" s="2542"/>
    </row>
    <row r="440" spans="1:27" s="19" customFormat="1" ht="10.5" customHeight="1">
      <c r="A440" s="4386"/>
      <c r="B440" s="4387"/>
      <c r="C440" s="4387"/>
      <c r="D440" s="4387"/>
      <c r="E440" s="4387"/>
      <c r="F440" s="4387"/>
      <c r="G440" s="4387"/>
      <c r="H440" s="4387"/>
      <c r="I440" s="4387"/>
      <c r="J440" s="4387"/>
      <c r="K440" s="4387"/>
      <c r="L440" s="4387"/>
      <c r="M440" s="4387"/>
      <c r="N440" s="4387"/>
      <c r="O440" s="4387"/>
      <c r="P440" s="4388"/>
      <c r="Q440" s="249"/>
      <c r="R440" s="249"/>
    </row>
    <row r="441" spans="1:27" ht="13.5" customHeight="1" thickBot="1">
      <c r="N441" s="58"/>
      <c r="Q441" s="4610" t="s">
        <v>7007</v>
      </c>
      <c r="R441" s="4610"/>
      <c r="S441" s="4610"/>
      <c r="T441" s="4610"/>
      <c r="U441" s="4610"/>
      <c r="V441" s="4610"/>
      <c r="W441" s="4610"/>
      <c r="X441" s="4610"/>
      <c r="Y441" s="4610"/>
      <c r="Z441" s="4610"/>
      <c r="AA441" s="4610"/>
    </row>
    <row r="442" spans="1:27" s="18" customFormat="1" ht="12.75" customHeight="1" thickTop="1" thickBot="1">
      <c r="A442" s="81" t="s">
        <v>2007</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610"/>
      <c r="R442" s="4610"/>
      <c r="S442" s="4610"/>
      <c r="T442" s="4610"/>
      <c r="U442" s="4610"/>
      <c r="V442" s="4610"/>
      <c r="W442" s="4610"/>
      <c r="X442" s="4610"/>
      <c r="Y442" s="4610"/>
      <c r="Z442" s="4610"/>
      <c r="AA442" s="4610"/>
    </row>
    <row r="443" spans="1:27" s="19" customFormat="1" ht="15.75" thickTop="1">
      <c r="A443" s="43"/>
      <c r="C443" s="2586"/>
      <c r="D443" s="2586"/>
      <c r="E443" s="2586"/>
      <c r="F443" s="2586"/>
      <c r="G443" s="2586"/>
      <c r="H443" s="2586"/>
      <c r="I443" s="2586"/>
      <c r="J443" s="2586"/>
      <c r="K443" s="2586"/>
      <c r="L443" s="2586"/>
      <c r="M443" s="2586"/>
      <c r="N443" s="2586"/>
      <c r="O443" s="2586"/>
      <c r="P443" s="2586"/>
      <c r="Q443" s="4610"/>
      <c r="R443" s="4610"/>
      <c r="S443" s="4610"/>
      <c r="T443" s="4610"/>
      <c r="U443" s="4610"/>
      <c r="V443" s="4610"/>
      <c r="W443" s="4610"/>
      <c r="X443" s="4610"/>
      <c r="Y443" s="4610"/>
      <c r="Z443" s="4610"/>
      <c r="AA443" s="4610"/>
    </row>
    <row r="444" spans="1:27" s="77" customFormat="1" ht="6.75" customHeight="1">
      <c r="A444" s="19"/>
      <c r="B444" s="29"/>
      <c r="C444" s="19"/>
      <c r="F444" s="16"/>
      <c r="G444" s="16"/>
      <c r="H444" s="30"/>
      <c r="I444" s="30"/>
      <c r="L444" s="19"/>
      <c r="N444" s="2542"/>
      <c r="O444" s="2542"/>
      <c r="P444" s="2"/>
      <c r="Q444" s="4610"/>
      <c r="R444" s="4610"/>
      <c r="S444" s="4610"/>
      <c r="T444" s="4610"/>
      <c r="U444" s="4610"/>
      <c r="V444" s="4610"/>
      <c r="W444" s="4610"/>
      <c r="X444" s="4610"/>
      <c r="Y444" s="4610"/>
      <c r="Z444" s="4610"/>
      <c r="AA444" s="4610"/>
    </row>
    <row r="445" spans="1:27" s="19" customFormat="1" ht="22.5" customHeight="1">
      <c r="A445" s="4826" t="s">
        <v>7008</v>
      </c>
      <c r="B445" s="4826"/>
      <c r="C445" s="4826"/>
      <c r="D445" s="4826"/>
      <c r="E445" s="4826"/>
      <c r="F445" s="4826"/>
      <c r="G445" s="4826"/>
      <c r="H445" s="4826"/>
      <c r="I445" s="4826"/>
      <c r="J445" s="4826"/>
      <c r="K445" s="4826"/>
      <c r="L445" s="4826"/>
      <c r="M445" s="4826"/>
      <c r="N445" s="4826"/>
      <c r="O445" s="4826"/>
      <c r="P445" s="4826"/>
      <c r="Q445" s="4610"/>
      <c r="R445" s="4610"/>
      <c r="S445" s="4610"/>
      <c r="T445" s="4610"/>
      <c r="U445" s="4610"/>
      <c r="V445" s="4610"/>
      <c r="W445" s="4610"/>
      <c r="X445" s="4610"/>
      <c r="Y445" s="4610"/>
      <c r="Z445" s="4610"/>
      <c r="AA445" s="4610"/>
    </row>
    <row r="446" spans="1:27" s="19" customFormat="1" ht="409.35" customHeight="1">
      <c r="A446" s="4382"/>
      <c r="B446" s="4383"/>
      <c r="C446" s="4383"/>
      <c r="D446" s="4383"/>
      <c r="E446" s="4383"/>
      <c r="F446" s="4383"/>
      <c r="G446" s="4383"/>
      <c r="H446" s="4383"/>
      <c r="I446" s="4383"/>
      <c r="J446" s="4383"/>
      <c r="K446" s="4383"/>
      <c r="L446" s="4383"/>
      <c r="M446" s="4383"/>
      <c r="N446" s="4383"/>
      <c r="O446" s="4383"/>
      <c r="P446" s="4384"/>
      <c r="Q446" s="1350"/>
      <c r="R446" s="1350"/>
      <c r="S446" s="1350"/>
      <c r="T446" s="1350"/>
      <c r="U446" s="1350"/>
      <c r="V446" s="1350"/>
      <c r="W446" s="1350"/>
      <c r="X446" s="1350"/>
      <c r="Y446" s="1350"/>
    </row>
    <row r="447" spans="1:27" s="77" customFormat="1">
      <c r="C447" s="40" t="s">
        <v>1698</v>
      </c>
      <c r="D447" s="40"/>
      <c r="E447" s="40"/>
      <c r="F447" s="40"/>
      <c r="G447" s="40"/>
      <c r="H447" s="40"/>
      <c r="I447" s="40"/>
      <c r="J447" s="272" t="s">
        <v>1621</v>
      </c>
      <c r="K447" s="40"/>
      <c r="L447" s="40"/>
      <c r="M447" s="40"/>
      <c r="N447" s="2607"/>
      <c r="O447" s="1472"/>
      <c r="P447" s="1472"/>
      <c r="Q447" s="142"/>
      <c r="R447" s="142"/>
      <c r="S447" s="142"/>
      <c r="T447" s="1350"/>
      <c r="U447" s="1350"/>
      <c r="V447" s="1350"/>
      <c r="W447" s="1350"/>
      <c r="X447" s="1350"/>
      <c r="Y447" s="1350"/>
    </row>
    <row r="448" spans="1:27" s="77" customFormat="1">
      <c r="C448" s="40" t="s">
        <v>2009</v>
      </c>
      <c r="D448" s="40"/>
      <c r="E448" s="40"/>
      <c r="F448" s="40"/>
      <c r="G448" s="40"/>
      <c r="H448" s="40"/>
      <c r="I448" s="40"/>
      <c r="J448" s="272" t="s">
        <v>1644</v>
      </c>
      <c r="K448" s="40"/>
      <c r="L448" s="40"/>
      <c r="M448" s="40"/>
      <c r="N448" s="2607"/>
      <c r="O448" s="1472"/>
      <c r="P448" s="1472"/>
      <c r="Q448" s="40"/>
    </row>
    <row r="449" spans="3:17" s="77" customFormat="1">
      <c r="C449" s="40" t="s">
        <v>2010</v>
      </c>
      <c r="D449" s="40"/>
      <c r="E449" s="40"/>
      <c r="F449" s="40"/>
      <c r="G449" s="40"/>
      <c r="H449" s="40"/>
      <c r="I449" s="40"/>
      <c r="J449" s="272" t="s">
        <v>2011</v>
      </c>
      <c r="K449" s="40"/>
      <c r="L449" s="40"/>
      <c r="M449" s="40"/>
      <c r="N449" s="2607"/>
      <c r="O449" s="1472"/>
      <c r="P449" s="1472"/>
      <c r="Q449" s="40"/>
    </row>
    <row r="450" spans="3:17" s="77" customFormat="1">
      <c r="C450" s="40" t="s">
        <v>2012</v>
      </c>
      <c r="D450" s="40"/>
      <c r="E450" s="40"/>
      <c r="F450" s="40"/>
      <c r="G450" s="40"/>
      <c r="H450" s="40"/>
      <c r="I450" s="40"/>
      <c r="J450" s="272" t="s">
        <v>2013</v>
      </c>
      <c r="K450" s="40"/>
      <c r="L450" s="40"/>
      <c r="M450" s="40"/>
      <c r="N450" s="2607"/>
      <c r="O450" s="1472"/>
      <c r="P450" s="1472"/>
      <c r="Q450" s="40"/>
    </row>
    <row r="451" spans="3:17" s="77" customFormat="1">
      <c r="C451" s="40"/>
      <c r="D451" s="40"/>
      <c r="E451" s="40"/>
      <c r="F451" s="40"/>
      <c r="G451" s="40"/>
      <c r="H451" s="40"/>
      <c r="I451" s="40"/>
      <c r="J451" s="272" t="s">
        <v>1699</v>
      </c>
      <c r="K451" s="40"/>
      <c r="L451" s="40"/>
      <c r="M451" s="40"/>
      <c r="N451" s="2607"/>
      <c r="O451" s="1472"/>
      <c r="P451" s="1472"/>
      <c r="Q451" s="40"/>
    </row>
    <row r="452" spans="3:17" s="77" customFormat="1">
      <c r="C452" s="40" t="s">
        <v>720</v>
      </c>
      <c r="D452" s="40"/>
      <c r="E452" s="40"/>
      <c r="F452" s="40"/>
      <c r="G452" s="40"/>
      <c r="H452" s="40"/>
      <c r="I452" s="40"/>
      <c r="J452" s="272" t="s">
        <v>2014</v>
      </c>
      <c r="K452" s="40"/>
      <c r="L452" s="40"/>
      <c r="M452" s="40"/>
      <c r="N452" s="2607"/>
      <c r="O452" s="1472"/>
      <c r="P452" s="1472"/>
      <c r="Q452" s="40"/>
    </row>
    <row r="453" spans="3:17" s="77" customFormat="1">
      <c r="C453" s="947" t="s">
        <v>1617</v>
      </c>
      <c r="D453" s="40"/>
      <c r="E453" s="40"/>
      <c r="F453" s="40"/>
      <c r="G453" s="40"/>
      <c r="H453" s="40"/>
      <c r="I453" s="40"/>
      <c r="J453" s="272" t="s">
        <v>2015</v>
      </c>
      <c r="K453" s="40"/>
      <c r="L453" s="40"/>
      <c r="M453" s="40"/>
      <c r="N453" s="2607"/>
      <c r="O453" s="1472"/>
      <c r="P453" s="1472"/>
      <c r="Q453" s="40"/>
    </row>
    <row r="454" spans="3:17" s="77" customFormat="1">
      <c r="C454" s="947" t="s">
        <v>1620</v>
      </c>
      <c r="D454" s="40"/>
      <c r="E454" s="40"/>
      <c r="F454" s="40"/>
      <c r="G454" s="40"/>
      <c r="H454" s="40"/>
      <c r="I454" s="40"/>
      <c r="J454" s="272" t="s">
        <v>1630</v>
      </c>
      <c r="K454" s="40"/>
      <c r="L454" s="40"/>
      <c r="M454" s="40"/>
      <c r="N454" s="2607"/>
      <c r="O454" s="1472"/>
      <c r="P454" s="1472"/>
      <c r="Q454" s="40"/>
    </row>
    <row r="455" spans="3:17" s="77" customFormat="1">
      <c r="C455" s="947" t="s">
        <v>1623</v>
      </c>
      <c r="D455" s="40"/>
      <c r="E455" s="40"/>
      <c r="F455" s="40"/>
      <c r="G455" s="40"/>
      <c r="H455" s="40"/>
      <c r="I455" s="40"/>
      <c r="J455" s="272" t="s">
        <v>1615</v>
      </c>
      <c r="K455" s="40"/>
      <c r="L455" s="40"/>
      <c r="M455" s="40"/>
      <c r="N455" s="2607"/>
      <c r="O455" s="1472"/>
      <c r="P455" s="1472"/>
      <c r="Q455" s="40"/>
    </row>
    <row r="456" spans="3:17" s="77" customFormat="1">
      <c r="C456" s="947" t="s">
        <v>1626</v>
      </c>
      <c r="D456" s="40"/>
      <c r="E456" s="40"/>
      <c r="F456" s="40"/>
      <c r="G456" s="40"/>
      <c r="H456" s="40"/>
      <c r="I456" s="40"/>
      <c r="J456" s="272" t="s">
        <v>1627</v>
      </c>
      <c r="K456" s="40"/>
      <c r="L456" s="40"/>
      <c r="M456" s="40"/>
      <c r="N456" s="2607"/>
      <c r="O456" s="1472"/>
      <c r="P456" s="1472"/>
      <c r="Q456" s="40"/>
    </row>
    <row r="457" spans="3:17" s="77" customFormat="1">
      <c r="C457" s="947" t="s">
        <v>1629</v>
      </c>
      <c r="D457" s="40"/>
      <c r="E457" s="40"/>
      <c r="F457" s="40"/>
      <c r="G457" s="40"/>
      <c r="H457" s="40"/>
      <c r="I457" s="40"/>
      <c r="J457" s="272" t="s">
        <v>2021</v>
      </c>
      <c r="K457" s="40"/>
      <c r="L457" s="40"/>
      <c r="M457" s="40"/>
      <c r="N457" s="2607"/>
      <c r="O457" s="1472"/>
      <c r="P457" s="1472"/>
      <c r="Q457" s="40"/>
    </row>
    <row r="458" spans="3:17" s="77" customFormat="1">
      <c r="C458" s="947" t="s">
        <v>1632</v>
      </c>
      <c r="D458" s="40"/>
      <c r="E458" s="40"/>
      <c r="F458" s="40"/>
      <c r="G458" s="40"/>
      <c r="H458" s="40"/>
      <c r="I458" s="40"/>
      <c r="J458" s="272" t="s">
        <v>1642</v>
      </c>
      <c r="K458" s="40"/>
      <c r="L458" s="40"/>
      <c r="M458" s="40"/>
      <c r="N458" s="2607"/>
      <c r="O458" s="1472"/>
      <c r="P458" s="1472"/>
      <c r="Q458" s="40"/>
    </row>
    <row r="459" spans="3:17" s="77" customFormat="1">
      <c r="C459" s="947" t="s">
        <v>1635</v>
      </c>
      <c r="D459" s="40"/>
      <c r="E459" s="40"/>
      <c r="F459" s="40"/>
      <c r="G459" s="40"/>
      <c r="H459" s="40"/>
      <c r="I459" s="40"/>
      <c r="J459" s="272" t="s">
        <v>2023</v>
      </c>
      <c r="K459" s="40"/>
      <c r="L459" s="40"/>
      <c r="M459" s="40"/>
      <c r="N459" s="2607"/>
      <c r="O459" s="1472"/>
      <c r="P459" s="1472"/>
      <c r="Q459" s="40"/>
    </row>
    <row r="460" spans="3:17" s="77" customFormat="1">
      <c r="C460" s="947" t="s">
        <v>1638</v>
      </c>
      <c r="D460" s="40"/>
      <c r="E460" s="40"/>
      <c r="F460" s="40"/>
      <c r="G460" s="40"/>
      <c r="H460" s="40"/>
      <c r="I460" s="40"/>
      <c r="J460" s="272" t="s">
        <v>2025</v>
      </c>
      <c r="K460" s="40"/>
      <c r="L460" s="40"/>
      <c r="M460" s="40"/>
      <c r="N460" s="2607"/>
      <c r="O460" s="1472"/>
      <c r="P460" s="1472"/>
      <c r="Q460" s="40"/>
    </row>
    <row r="461" spans="3:17" s="77" customFormat="1">
      <c r="C461" s="947" t="s">
        <v>1641</v>
      </c>
      <c r="D461" s="40"/>
      <c r="E461" s="40"/>
      <c r="F461" s="40"/>
      <c r="G461" s="40"/>
      <c r="H461" s="40"/>
      <c r="I461" s="40"/>
      <c r="J461" s="40"/>
      <c r="K461" s="40"/>
      <c r="L461" s="40"/>
      <c r="M461" s="40"/>
      <c r="N461" s="2607"/>
      <c r="O461" s="1472"/>
      <c r="P461" s="1472"/>
      <c r="Q461" s="40"/>
    </row>
    <row r="462" spans="3:17" s="77" customFormat="1">
      <c r="C462" s="947" t="s">
        <v>1643</v>
      </c>
      <c r="D462" s="40"/>
      <c r="E462" s="40"/>
      <c r="F462" s="40"/>
      <c r="G462" s="40"/>
      <c r="H462" s="40"/>
      <c r="I462" s="40"/>
      <c r="J462" s="1473" t="s">
        <v>2029</v>
      </c>
      <c r="K462" s="40"/>
      <c r="L462" s="40"/>
      <c r="M462" s="40"/>
      <c r="N462" s="2607"/>
      <c r="O462" s="1473" t="s">
        <v>2030</v>
      </c>
      <c r="P462" s="1472"/>
      <c r="Q462" s="40"/>
    </row>
    <row r="463" spans="3:17" s="77" customFormat="1">
      <c r="C463" s="947" t="s">
        <v>1645</v>
      </c>
      <c r="D463" s="40"/>
      <c r="E463" s="40"/>
      <c r="F463" s="40"/>
      <c r="G463" s="40"/>
      <c r="H463" s="40"/>
      <c r="I463" s="40"/>
      <c r="J463" s="272" t="s">
        <v>2032</v>
      </c>
      <c r="K463" s="40"/>
      <c r="L463" s="40"/>
      <c r="M463" s="40"/>
      <c r="N463" s="2607"/>
      <c r="O463" s="1472"/>
      <c r="P463" s="1472"/>
      <c r="Q463" s="40"/>
    </row>
    <row r="464" spans="3:17" s="77" customFormat="1">
      <c r="C464" s="947" t="s">
        <v>1648</v>
      </c>
      <c r="D464" s="40"/>
      <c r="E464" s="40"/>
      <c r="F464" s="40"/>
      <c r="G464" s="40"/>
      <c r="H464" s="40"/>
      <c r="I464" s="40"/>
      <c r="J464" s="40" t="s">
        <v>2035</v>
      </c>
      <c r="K464" s="40"/>
      <c r="L464" s="40"/>
      <c r="M464" s="40"/>
      <c r="N464" s="2607"/>
      <c r="O464" s="1472">
        <v>2</v>
      </c>
      <c r="P464" s="1472"/>
      <c r="Q464" s="40"/>
    </row>
    <row r="465" spans="1:17" s="77" customFormat="1">
      <c r="C465" s="40"/>
      <c r="D465" s="40"/>
      <c r="E465" s="40"/>
      <c r="F465" s="40"/>
      <c r="G465" s="40"/>
      <c r="H465" s="40"/>
      <c r="I465" s="40"/>
      <c r="J465" s="40" t="s">
        <v>2037</v>
      </c>
      <c r="K465" s="40"/>
      <c r="L465" s="40"/>
      <c r="M465" s="40"/>
      <c r="N465" s="2607"/>
      <c r="O465" s="1472">
        <v>2</v>
      </c>
      <c r="P465" s="1472"/>
      <c r="Q465" s="40"/>
    </row>
    <row r="466" spans="1:17" s="77" customFormat="1">
      <c r="C466" s="40"/>
      <c r="D466" s="40"/>
      <c r="E466" s="40"/>
      <c r="F466" s="40"/>
      <c r="G466" s="4823" t="s">
        <v>2040</v>
      </c>
      <c r="H466" s="4823"/>
      <c r="I466" s="4823"/>
      <c r="J466" s="40" t="s">
        <v>2041</v>
      </c>
      <c r="K466" s="40"/>
      <c r="L466" s="40"/>
      <c r="M466" s="40"/>
      <c r="N466" s="2607"/>
      <c r="O466" s="1472">
        <v>2</v>
      </c>
      <c r="P466" s="1472"/>
      <c r="Q466" s="40"/>
    </row>
    <row r="467" spans="1:17" s="77" customFormat="1">
      <c r="C467" s="40"/>
      <c r="D467" s="40"/>
      <c r="E467" s="40"/>
      <c r="F467" s="40"/>
      <c r="G467" s="1260" t="s">
        <v>2044</v>
      </c>
      <c r="H467" s="40" t="s">
        <v>2045</v>
      </c>
      <c r="I467" s="1260" t="s">
        <v>2046</v>
      </c>
      <c r="J467" s="40" t="s">
        <v>2047</v>
      </c>
      <c r="K467" s="40"/>
      <c r="L467" s="1260"/>
      <c r="M467" s="40"/>
      <c r="N467" s="2607"/>
      <c r="O467" s="1472">
        <v>2</v>
      </c>
      <c r="P467" s="1472"/>
      <c r="Q467" s="40"/>
    </row>
    <row r="468" spans="1:17" s="77" customFormat="1">
      <c r="C468" s="356"/>
      <c r="D468" s="40"/>
      <c r="E468" s="40"/>
      <c r="F468" s="40"/>
      <c r="G468" s="1009" t="s">
        <v>2049</v>
      </c>
      <c r="H468" s="40"/>
      <c r="I468" s="1009"/>
      <c r="J468" s="40" t="s">
        <v>2050</v>
      </c>
      <c r="K468" s="40"/>
      <c r="L468" s="1009"/>
      <c r="M468" s="40"/>
      <c r="N468" s="2607"/>
      <c r="O468" s="1472">
        <v>2</v>
      </c>
      <c r="P468" s="1472"/>
      <c r="Q468" s="40"/>
    </row>
    <row r="469" spans="1:17" s="77" customFormat="1">
      <c r="C469" s="356"/>
      <c r="D469" s="40"/>
      <c r="E469" s="40"/>
      <c r="F469" s="40"/>
      <c r="G469" s="1009" t="s">
        <v>2053</v>
      </c>
      <c r="H469" s="2607" t="s">
        <v>2054</v>
      </c>
      <c r="I469" s="1260" t="s">
        <v>1128</v>
      </c>
      <c r="J469" s="40" t="s">
        <v>2055</v>
      </c>
      <c r="K469" s="40"/>
      <c r="L469" s="356"/>
      <c r="M469" s="40"/>
      <c r="N469" s="2607"/>
      <c r="O469" s="1472">
        <v>1</v>
      </c>
      <c r="P469" s="1472"/>
      <c r="Q469" s="40"/>
    </row>
    <row r="470" spans="1:17" s="77" customFormat="1">
      <c r="C470" s="356"/>
      <c r="D470" s="40"/>
      <c r="E470" s="40"/>
      <c r="F470" s="40"/>
      <c r="G470" s="1009" t="s">
        <v>2057</v>
      </c>
      <c r="H470" s="2607">
        <v>2020</v>
      </c>
      <c r="I470" s="2607" t="s">
        <v>2058</v>
      </c>
      <c r="J470" s="40" t="s">
        <v>2059</v>
      </c>
      <c r="K470" s="40"/>
      <c r="L470" s="356"/>
      <c r="M470" s="40"/>
      <c r="N470" s="2607"/>
      <c r="O470" s="1472">
        <v>1</v>
      </c>
      <c r="P470" s="1472"/>
      <c r="Q470" s="40"/>
    </row>
    <row r="471" spans="1:17" s="77" customFormat="1">
      <c r="C471" s="356"/>
      <c r="D471" s="40"/>
      <c r="E471" s="40"/>
      <c r="F471" s="40"/>
      <c r="G471" s="1009" t="s">
        <v>2061</v>
      </c>
      <c r="H471" s="2607" t="s">
        <v>2062</v>
      </c>
      <c r="I471" s="1260" t="s">
        <v>1128</v>
      </c>
      <c r="J471" s="40" t="s">
        <v>2063</v>
      </c>
      <c r="K471" s="40"/>
      <c r="L471" s="356"/>
      <c r="M471" s="40"/>
      <c r="N471" s="2607"/>
      <c r="O471" s="1472">
        <v>1</v>
      </c>
      <c r="P471" s="1472"/>
      <c r="Q471" s="40"/>
    </row>
    <row r="472" spans="1:17" s="77" customFormat="1">
      <c r="C472" s="356"/>
      <c r="D472" s="40"/>
      <c r="E472" s="40"/>
      <c r="F472" s="40"/>
      <c r="G472" s="1009" t="s">
        <v>2065</v>
      </c>
      <c r="H472" s="2607">
        <v>2020</v>
      </c>
      <c r="I472" s="2607" t="s">
        <v>2058</v>
      </c>
      <c r="J472" s="40" t="s">
        <v>2066</v>
      </c>
      <c r="K472" s="40"/>
      <c r="L472" s="356"/>
      <c r="M472" s="40"/>
      <c r="N472" s="2607"/>
      <c r="O472" s="1472">
        <v>1</v>
      </c>
      <c r="P472" s="1472"/>
      <c r="Q472" s="40"/>
    </row>
    <row r="473" spans="1:17" s="77" customFormat="1">
      <c r="C473" s="356"/>
      <c r="D473" s="40"/>
      <c r="E473" s="40"/>
      <c r="F473" s="40"/>
      <c r="G473" s="1009" t="s">
        <v>2068</v>
      </c>
      <c r="H473" s="2607">
        <v>2019</v>
      </c>
      <c r="I473" s="2607" t="s">
        <v>2058</v>
      </c>
      <c r="J473" s="40" t="s">
        <v>2069</v>
      </c>
      <c r="K473" s="40"/>
      <c r="L473" s="356"/>
      <c r="M473" s="40"/>
      <c r="N473" s="2607"/>
      <c r="O473" s="1472">
        <v>1</v>
      </c>
      <c r="P473" s="1472"/>
      <c r="Q473" s="40"/>
    </row>
    <row r="474" spans="1:17" s="77" customFormat="1">
      <c r="C474" s="356"/>
      <c r="D474" s="40"/>
      <c r="E474" s="40"/>
      <c r="F474" s="40"/>
      <c r="G474" s="1009" t="s">
        <v>2072</v>
      </c>
      <c r="H474" s="2607" t="s">
        <v>2062</v>
      </c>
      <c r="I474" s="1260" t="s">
        <v>1128</v>
      </c>
      <c r="J474" s="40" t="s">
        <v>2073</v>
      </c>
      <c r="K474" s="40"/>
      <c r="L474" s="356"/>
      <c r="M474" s="40"/>
      <c r="N474" s="2607"/>
      <c r="O474" s="1472">
        <v>1</v>
      </c>
      <c r="P474" s="1472"/>
      <c r="Q474" s="40"/>
    </row>
    <row r="475" spans="1:17" s="77" customFormat="1">
      <c r="C475" s="356"/>
      <c r="D475" s="40"/>
      <c r="E475" s="40"/>
      <c r="F475" s="40"/>
      <c r="G475" s="1009" t="s">
        <v>2076</v>
      </c>
      <c r="H475" s="2607">
        <v>2020</v>
      </c>
      <c r="I475" s="2607" t="s">
        <v>2058</v>
      </c>
      <c r="J475" s="40" t="s">
        <v>2077</v>
      </c>
      <c r="K475" s="40"/>
      <c r="L475" s="356"/>
      <c r="M475" s="40"/>
      <c r="N475" s="2607"/>
      <c r="O475" s="1472">
        <v>1</v>
      </c>
      <c r="P475" s="1472"/>
      <c r="Q475" s="40"/>
    </row>
    <row r="476" spans="1:17" s="77" customFormat="1">
      <c r="C476" s="356"/>
      <c r="D476" s="40"/>
      <c r="E476" s="40"/>
      <c r="F476" s="40"/>
      <c r="G476" s="1009" t="s">
        <v>2079</v>
      </c>
      <c r="H476" s="2607" t="s">
        <v>2054</v>
      </c>
      <c r="I476" s="1260" t="s">
        <v>1128</v>
      </c>
      <c r="J476" s="40" t="s">
        <v>2080</v>
      </c>
      <c r="K476" s="40"/>
      <c r="L476" s="356"/>
      <c r="M476" s="40"/>
      <c r="N476" s="2607"/>
      <c r="O476" s="1472">
        <v>1</v>
      </c>
      <c r="P476" s="1472"/>
      <c r="Q476" s="40"/>
    </row>
    <row r="477" spans="1:17" s="77" customFormat="1">
      <c r="C477" s="40"/>
      <c r="D477" s="40"/>
      <c r="E477" s="40"/>
      <c r="F477" s="40"/>
      <c r="G477" s="1009" t="s">
        <v>2082</v>
      </c>
      <c r="H477" s="2607" t="s">
        <v>2054</v>
      </c>
      <c r="I477" s="1260" t="s">
        <v>1128</v>
      </c>
      <c r="J477" s="40" t="s">
        <v>2083</v>
      </c>
      <c r="K477" s="40"/>
      <c r="L477" s="356"/>
      <c r="M477" s="40"/>
      <c r="N477" s="2607"/>
      <c r="O477" s="1472">
        <v>1</v>
      </c>
      <c r="P477" s="1472"/>
      <c r="Q477" s="40"/>
    </row>
    <row r="478" spans="1:17" s="77" customFormat="1">
      <c r="C478" s="40"/>
      <c r="D478" s="40"/>
      <c r="E478" s="40"/>
      <c r="F478" s="40"/>
      <c r="G478" s="1009" t="s">
        <v>2085</v>
      </c>
      <c r="H478" s="2607">
        <v>2019</v>
      </c>
      <c r="I478" s="2607" t="s">
        <v>2058</v>
      </c>
      <c r="J478" s="40" t="s">
        <v>2086</v>
      </c>
      <c r="K478" s="40"/>
      <c r="L478" s="356"/>
      <c r="M478" s="40"/>
      <c r="N478" s="2607"/>
      <c r="O478" s="1472">
        <v>1</v>
      </c>
      <c r="P478" s="1472"/>
      <c r="Q478" s="40"/>
    </row>
    <row r="479" spans="1:17" s="77" customFormat="1">
      <c r="A479" s="25" t="s">
        <v>2088</v>
      </c>
      <c r="C479" s="40"/>
      <c r="D479" s="40"/>
      <c r="E479" s="40"/>
      <c r="F479" s="40"/>
      <c r="G479" s="1009" t="s">
        <v>2089</v>
      </c>
      <c r="H479" s="2607" t="s">
        <v>2054</v>
      </c>
      <c r="I479" s="1260" t="s">
        <v>1128</v>
      </c>
      <c r="J479" s="40" t="s">
        <v>2090</v>
      </c>
      <c r="K479" s="40"/>
      <c r="L479" s="356"/>
      <c r="M479" s="40"/>
      <c r="N479" s="2607"/>
      <c r="O479" s="1472">
        <v>1</v>
      </c>
      <c r="P479" s="1472"/>
      <c r="Q479" s="40"/>
    </row>
    <row r="480" spans="1:17" s="77" customFormat="1">
      <c r="A480" s="25" t="s">
        <v>2092</v>
      </c>
      <c r="C480" s="40"/>
      <c r="D480" s="40"/>
      <c r="E480" s="40"/>
      <c r="F480" s="40"/>
      <c r="G480" s="1009" t="s">
        <v>2093</v>
      </c>
      <c r="H480" s="2607">
        <v>2019</v>
      </c>
      <c r="I480" s="2607" t="s">
        <v>2058</v>
      </c>
      <c r="J480" s="40" t="s">
        <v>2094</v>
      </c>
      <c r="K480" s="40"/>
      <c r="L480" s="356"/>
      <c r="M480" s="40"/>
      <c r="N480" s="2607"/>
      <c r="O480" s="1472">
        <v>1</v>
      </c>
      <c r="P480" s="1472"/>
      <c r="Q480" s="40"/>
    </row>
    <row r="481" spans="1:17" s="77" customFormat="1">
      <c r="A481" s="73" t="s">
        <v>2096</v>
      </c>
      <c r="C481" s="40"/>
      <c r="D481" s="356"/>
      <c r="E481" s="356">
        <v>3</v>
      </c>
      <c r="F481" s="40"/>
      <c r="G481" s="1009" t="s">
        <v>2097</v>
      </c>
      <c r="H481" s="2607">
        <v>2019</v>
      </c>
      <c r="I481" s="2607" t="s">
        <v>2058</v>
      </c>
      <c r="J481" s="40"/>
      <c r="K481" s="40"/>
      <c r="L481" s="356"/>
      <c r="M481" s="40"/>
      <c r="N481" s="2607"/>
      <c r="O481" s="1472"/>
      <c r="P481" s="1472"/>
      <c r="Q481" s="40"/>
    </row>
    <row r="482" spans="1:17" s="77" customFormat="1">
      <c r="A482" s="73" t="s">
        <v>2099</v>
      </c>
      <c r="C482" s="40"/>
      <c r="D482" s="356"/>
      <c r="E482" s="356">
        <v>2</v>
      </c>
      <c r="F482" s="40"/>
      <c r="G482" s="1009" t="s">
        <v>134</v>
      </c>
      <c r="H482" s="2607">
        <v>2019</v>
      </c>
      <c r="I482" s="2607" t="s">
        <v>2058</v>
      </c>
      <c r="J482" s="40"/>
      <c r="K482" s="40"/>
      <c r="L482" s="356"/>
      <c r="M482" s="40"/>
      <c r="N482" s="2607"/>
      <c r="O482" s="1472"/>
      <c r="P482" s="1472"/>
      <c r="Q482" s="40"/>
    </row>
    <row r="483" spans="1:17" s="77" customFormat="1">
      <c r="A483" s="73" t="s">
        <v>2100</v>
      </c>
      <c r="C483" s="40"/>
      <c r="D483" s="356"/>
      <c r="E483" s="356">
        <v>10</v>
      </c>
      <c r="F483" s="40"/>
      <c r="G483" s="1009" t="s">
        <v>2101</v>
      </c>
      <c r="H483" s="2607">
        <v>2019</v>
      </c>
      <c r="I483" s="2607" t="s">
        <v>2058</v>
      </c>
      <c r="J483" s="287" t="s">
        <v>2102</v>
      </c>
      <c r="K483" s="40"/>
      <c r="L483" s="356"/>
      <c r="M483" s="40"/>
      <c r="N483" s="2607"/>
      <c r="O483" s="1472"/>
      <c r="P483" s="1472"/>
      <c r="Q483" s="40"/>
    </row>
    <row r="484" spans="1:17" s="77" customFormat="1">
      <c r="A484" s="73" t="s">
        <v>2103</v>
      </c>
      <c r="C484" s="40"/>
      <c r="D484" s="356"/>
      <c r="E484" s="356"/>
      <c r="F484" s="40"/>
      <c r="G484" s="1009" t="s">
        <v>2104</v>
      </c>
      <c r="H484" s="2607">
        <v>2019</v>
      </c>
      <c r="I484" s="2607" t="s">
        <v>2058</v>
      </c>
      <c r="J484" s="40" t="s">
        <v>1527</v>
      </c>
      <c r="K484" s="40"/>
      <c r="L484" s="356"/>
      <c r="M484" s="40"/>
      <c r="N484" s="2607"/>
      <c r="O484" s="1472"/>
      <c r="P484" s="1472"/>
      <c r="Q484" s="40"/>
    </row>
    <row r="485" spans="1:17" s="77" customFormat="1">
      <c r="C485" s="356"/>
      <c r="D485" s="40"/>
      <c r="E485" s="40"/>
      <c r="F485" s="40"/>
      <c r="G485" s="1009" t="s">
        <v>2106</v>
      </c>
      <c r="H485" s="2607">
        <v>2020</v>
      </c>
      <c r="I485" s="2607" t="s">
        <v>2058</v>
      </c>
      <c r="J485" s="40" t="s">
        <v>2107</v>
      </c>
      <c r="K485" s="40"/>
      <c r="L485" s="356"/>
      <c r="M485" s="40"/>
      <c r="N485" s="2607"/>
      <c r="O485" s="1472"/>
      <c r="P485" s="1472"/>
      <c r="Q485" s="40"/>
    </row>
    <row r="486" spans="1:17" s="77" customFormat="1">
      <c r="C486" s="356"/>
      <c r="D486" s="40"/>
      <c r="E486" s="40"/>
      <c r="F486" s="40"/>
      <c r="G486" s="1009" t="s">
        <v>2108</v>
      </c>
      <c r="H486" s="2607">
        <v>2020</v>
      </c>
      <c r="I486" s="2607" t="s">
        <v>2058</v>
      </c>
      <c r="J486" s="40" t="s">
        <v>1709</v>
      </c>
      <c r="K486" s="40"/>
      <c r="L486" s="356"/>
      <c r="M486" s="40"/>
      <c r="N486" s="2607"/>
      <c r="O486" s="1472"/>
      <c r="P486" s="1472"/>
      <c r="Q486" s="40"/>
    </row>
    <row r="487" spans="1:17" s="77" customFormat="1">
      <c r="C487" s="356"/>
      <c r="D487" s="40"/>
      <c r="E487" s="40"/>
      <c r="F487" s="40"/>
      <c r="G487" s="1009" t="s">
        <v>2109</v>
      </c>
      <c r="H487" s="2607" t="s">
        <v>2054</v>
      </c>
      <c r="I487" s="1260" t="s">
        <v>1128</v>
      </c>
      <c r="J487" s="40" t="s">
        <v>2110</v>
      </c>
      <c r="K487" s="40"/>
      <c r="L487" s="356"/>
      <c r="M487" s="40"/>
      <c r="N487" s="2607"/>
      <c r="O487" s="1472"/>
      <c r="P487" s="1472"/>
      <c r="Q487" s="40"/>
    </row>
    <row r="488" spans="1:17" s="77" customFormat="1">
      <c r="C488" s="356"/>
      <c r="D488" s="40"/>
      <c r="E488" s="40"/>
      <c r="F488" s="40"/>
      <c r="G488" s="1009" t="s">
        <v>2111</v>
      </c>
      <c r="H488" s="2607">
        <v>2019</v>
      </c>
      <c r="I488" s="2607" t="s">
        <v>2058</v>
      </c>
      <c r="J488" s="40" t="s">
        <v>1711</v>
      </c>
      <c r="K488" s="40"/>
      <c r="L488" s="356"/>
      <c r="M488" s="40"/>
      <c r="N488" s="2607"/>
      <c r="O488" s="1472"/>
      <c r="P488" s="1472"/>
      <c r="Q488" s="40"/>
    </row>
    <row r="489" spans="1:17" s="77" customFormat="1">
      <c r="C489" s="40"/>
      <c r="D489" s="40"/>
      <c r="E489" s="40"/>
      <c r="F489" s="40"/>
      <c r="G489" s="1009" t="s">
        <v>2112</v>
      </c>
      <c r="H489" s="2607">
        <v>2019</v>
      </c>
      <c r="I489" s="2607" t="s">
        <v>2058</v>
      </c>
      <c r="J489" s="40" t="s">
        <v>2113</v>
      </c>
      <c r="K489" s="40"/>
      <c r="L489" s="356"/>
      <c r="M489" s="40"/>
      <c r="N489" s="2607"/>
      <c r="O489" s="1472"/>
      <c r="P489" s="1472"/>
      <c r="Q489" s="40"/>
    </row>
    <row r="490" spans="1:17" s="77" customFormat="1">
      <c r="C490" s="40"/>
      <c r="D490" s="40"/>
      <c r="E490" s="40"/>
      <c r="F490" s="40"/>
      <c r="G490" s="1009" t="s">
        <v>2114</v>
      </c>
      <c r="H490" s="2607">
        <v>2019</v>
      </c>
      <c r="I490" s="2607" t="s">
        <v>2058</v>
      </c>
      <c r="J490" s="40" t="s">
        <v>1713</v>
      </c>
      <c r="K490" s="40"/>
      <c r="L490" s="40"/>
      <c r="M490" s="40"/>
      <c r="N490" s="2607"/>
      <c r="O490" s="1472"/>
      <c r="P490" s="1472"/>
      <c r="Q490" s="40"/>
    </row>
    <row r="491" spans="1:17" s="77" customFormat="1">
      <c r="C491" s="40"/>
      <c r="D491" s="40"/>
      <c r="E491" s="40"/>
      <c r="F491" s="40"/>
      <c r="G491" s="1009" t="s">
        <v>2115</v>
      </c>
      <c r="H491" s="2607" t="s">
        <v>2054</v>
      </c>
      <c r="I491" s="1260" t="s">
        <v>1128</v>
      </c>
      <c r="J491" s="40" t="s">
        <v>2116</v>
      </c>
      <c r="K491" s="40"/>
      <c r="L491" s="356"/>
      <c r="M491" s="40"/>
      <c r="N491" s="2607"/>
      <c r="O491" s="1472"/>
      <c r="P491" s="1472"/>
      <c r="Q491" s="40"/>
    </row>
    <row r="492" spans="1:17" s="77" customFormat="1">
      <c r="C492" s="40"/>
      <c r="D492" s="40"/>
      <c r="E492" s="40"/>
      <c r="F492" s="40"/>
      <c r="G492" s="1009" t="s">
        <v>2117</v>
      </c>
      <c r="H492" s="2607">
        <v>2020</v>
      </c>
      <c r="I492" s="2607" t="s">
        <v>2058</v>
      </c>
      <c r="J492" s="40" t="s">
        <v>1715</v>
      </c>
      <c r="K492" s="40"/>
      <c r="L492" s="356"/>
      <c r="M492" s="40"/>
      <c r="N492" s="2607"/>
      <c r="O492" s="1472"/>
      <c r="P492" s="1472"/>
      <c r="Q492" s="40"/>
    </row>
    <row r="493" spans="1:17" s="77" customFormat="1">
      <c r="C493" s="40"/>
      <c r="D493" s="40"/>
      <c r="E493" s="40"/>
      <c r="F493" s="40"/>
      <c r="G493" s="1009" t="s">
        <v>2118</v>
      </c>
      <c r="H493" s="2607">
        <v>2020</v>
      </c>
      <c r="I493" s="2607" t="s">
        <v>2058</v>
      </c>
      <c r="J493" s="40" t="s">
        <v>2119</v>
      </c>
      <c r="K493" s="40"/>
      <c r="L493" s="40"/>
      <c r="M493" s="40"/>
      <c r="N493" s="2607"/>
      <c r="O493" s="1472"/>
      <c r="P493" s="1472"/>
      <c r="Q493" s="40"/>
    </row>
    <row r="494" spans="1:17" s="77" customFormat="1">
      <c r="C494" s="40"/>
      <c r="D494" s="508"/>
      <c r="E494" s="40"/>
      <c r="F494" s="40"/>
      <c r="G494" s="1009" t="s">
        <v>2120</v>
      </c>
      <c r="H494" s="2607" t="s">
        <v>2054</v>
      </c>
      <c r="I494" s="1260" t="s">
        <v>1128</v>
      </c>
      <c r="J494" s="40" t="s">
        <v>2121</v>
      </c>
      <c r="K494" s="40"/>
      <c r="L494" s="356"/>
      <c r="M494" s="40"/>
      <c r="N494" s="2607"/>
      <c r="O494" s="1472"/>
      <c r="P494" s="1472"/>
      <c r="Q494" s="40"/>
    </row>
    <row r="495" spans="1:17" s="77" customFormat="1">
      <c r="C495" s="40"/>
      <c r="D495" s="508"/>
      <c r="E495" s="40"/>
      <c r="F495" s="40"/>
      <c r="G495" s="1009" t="s">
        <v>2122</v>
      </c>
      <c r="H495" s="2607" t="s">
        <v>2054</v>
      </c>
      <c r="I495" s="1260" t="s">
        <v>1128</v>
      </c>
      <c r="J495" s="40" t="s">
        <v>2123</v>
      </c>
      <c r="K495" s="40"/>
      <c r="L495" s="356"/>
      <c r="M495" s="40"/>
      <c r="N495" s="2607"/>
      <c r="O495" s="1472"/>
      <c r="P495" s="1472"/>
      <c r="Q495" s="40"/>
    </row>
    <row r="496" spans="1:17" s="77" customFormat="1">
      <c r="C496" s="40"/>
      <c r="D496" s="40"/>
      <c r="E496" s="40"/>
      <c r="F496" s="40"/>
      <c r="G496" s="1009" t="s">
        <v>2124</v>
      </c>
      <c r="H496" s="2607">
        <v>2020</v>
      </c>
      <c r="I496" s="2607" t="s">
        <v>2058</v>
      </c>
      <c r="J496" s="40" t="s">
        <v>2125</v>
      </c>
      <c r="K496" s="40"/>
      <c r="L496" s="356"/>
      <c r="M496" s="40"/>
      <c r="N496" s="2607"/>
      <c r="O496" s="1472"/>
      <c r="P496" s="1472"/>
      <c r="Q496" s="40"/>
    </row>
    <row r="497" spans="3:17" s="77" customFormat="1">
      <c r="C497" s="40"/>
      <c r="D497" s="40"/>
      <c r="E497" s="40"/>
      <c r="F497" s="40"/>
      <c r="G497" s="1009" t="s">
        <v>2126</v>
      </c>
      <c r="H497" s="2607">
        <v>2019</v>
      </c>
      <c r="I497" s="2607" t="s">
        <v>2058</v>
      </c>
      <c r="J497" s="40" t="s">
        <v>2127</v>
      </c>
      <c r="K497" s="40"/>
      <c r="L497" s="40"/>
      <c r="M497" s="40"/>
      <c r="N497" s="2607"/>
      <c r="O497" s="1472"/>
      <c r="P497" s="1472"/>
      <c r="Q497" s="40"/>
    </row>
    <row r="498" spans="3:17" s="77" customFormat="1">
      <c r="C498" s="40"/>
      <c r="D498" s="40"/>
      <c r="E498" s="40"/>
      <c r="F498" s="40"/>
      <c r="G498" s="1009" t="s">
        <v>2128</v>
      </c>
      <c r="H498" s="2607">
        <v>2019</v>
      </c>
      <c r="I498" s="2607" t="s">
        <v>2058</v>
      </c>
      <c r="J498" s="40" t="s">
        <v>2129</v>
      </c>
      <c r="K498" s="40"/>
      <c r="L498" s="356"/>
      <c r="M498" s="40"/>
      <c r="N498" s="2607"/>
      <c r="O498" s="1472"/>
      <c r="P498" s="1472"/>
      <c r="Q498" s="40"/>
    </row>
    <row r="499" spans="3:17" s="77" customFormat="1">
      <c r="C499" s="40"/>
      <c r="D499" s="40"/>
      <c r="E499" s="40"/>
      <c r="F499" s="40"/>
      <c r="G499" s="1009" t="s">
        <v>2130</v>
      </c>
      <c r="H499" s="2607">
        <v>2020</v>
      </c>
      <c r="I499" s="2607" t="s">
        <v>2058</v>
      </c>
      <c r="J499" s="40" t="s">
        <v>2131</v>
      </c>
      <c r="K499" s="40"/>
      <c r="L499" s="356"/>
      <c r="M499" s="40"/>
      <c r="N499" s="2607"/>
      <c r="O499" s="1472"/>
      <c r="P499" s="1472"/>
      <c r="Q499" s="40"/>
    </row>
    <row r="500" spans="3:17" s="77" customFormat="1">
      <c r="C500" s="508"/>
      <c r="D500" s="40"/>
      <c r="E500" s="40"/>
      <c r="F500" s="40"/>
      <c r="G500" s="1009" t="s">
        <v>2132</v>
      </c>
      <c r="H500" s="2607">
        <v>2020</v>
      </c>
      <c r="I500" s="2607" t="s">
        <v>2058</v>
      </c>
      <c r="J500" s="40" t="s">
        <v>2133</v>
      </c>
      <c r="K500" s="40"/>
      <c r="L500" s="356"/>
      <c r="M500" s="40"/>
      <c r="N500" s="2607"/>
      <c r="O500" s="1472"/>
      <c r="P500" s="1472"/>
      <c r="Q500" s="40"/>
    </row>
    <row r="501" spans="3:17" s="77" customFormat="1">
      <c r="C501" s="508"/>
      <c r="D501" s="40"/>
      <c r="E501" s="40"/>
      <c r="F501" s="40"/>
      <c r="G501" s="1009" t="s">
        <v>2134</v>
      </c>
      <c r="H501" s="2607" t="s">
        <v>2054</v>
      </c>
      <c r="I501" s="1260" t="s">
        <v>1128</v>
      </c>
      <c r="J501" s="40"/>
      <c r="K501" s="40"/>
      <c r="L501" s="356"/>
      <c r="M501" s="40"/>
      <c r="N501" s="2607"/>
      <c r="O501" s="1472"/>
      <c r="P501" s="1472"/>
      <c r="Q501" s="40"/>
    </row>
    <row r="502" spans="3:17" s="77" customFormat="1">
      <c r="C502" s="508"/>
      <c r="D502" s="40"/>
      <c r="E502" s="40"/>
      <c r="F502" s="40"/>
      <c r="G502" s="1009" t="s">
        <v>2135</v>
      </c>
      <c r="H502" s="2607" t="s">
        <v>2054</v>
      </c>
      <c r="I502" s="1260" t="s">
        <v>1128</v>
      </c>
      <c r="J502" s="40"/>
      <c r="K502" s="40"/>
      <c r="L502" s="356"/>
      <c r="M502" s="40"/>
      <c r="N502" s="2607"/>
      <c r="O502" s="1472"/>
      <c r="P502" s="1472"/>
      <c r="Q502" s="40"/>
    </row>
    <row r="503" spans="3:17" s="77" customFormat="1">
      <c r="C503" s="508"/>
      <c r="D503" s="40"/>
      <c r="E503" s="40"/>
      <c r="F503" s="40"/>
      <c r="G503" s="1009" t="s">
        <v>2136</v>
      </c>
      <c r="H503" s="2607" t="s">
        <v>2054</v>
      </c>
      <c r="I503" s="1260" t="s">
        <v>1128</v>
      </c>
      <c r="J503" s="40"/>
      <c r="K503" s="40"/>
      <c r="L503" s="356"/>
      <c r="M503" s="40"/>
      <c r="N503" s="2607"/>
      <c r="O503" s="1472"/>
      <c r="P503" s="1472"/>
      <c r="Q503" s="40"/>
    </row>
    <row r="504" spans="3:17" s="77" customFormat="1">
      <c r="C504" s="508"/>
      <c r="D504" s="40"/>
      <c r="E504" s="40"/>
      <c r="F504" s="40"/>
      <c r="G504" s="1009" t="s">
        <v>2137</v>
      </c>
      <c r="H504" s="2607" t="s">
        <v>2054</v>
      </c>
      <c r="I504" s="1260" t="s">
        <v>1128</v>
      </c>
      <c r="J504" s="40"/>
      <c r="K504" s="40"/>
      <c r="L504" s="356"/>
      <c r="M504" s="40"/>
      <c r="N504" s="2607"/>
      <c r="O504" s="1472"/>
      <c r="P504" s="1472"/>
      <c r="Q504" s="40"/>
    </row>
    <row r="505" spans="3:17" s="77" customFormat="1">
      <c r="C505" s="508"/>
      <c r="D505" s="40"/>
      <c r="E505" s="40"/>
      <c r="F505" s="40"/>
      <c r="G505" s="1009" t="s">
        <v>2138</v>
      </c>
      <c r="H505" s="2607">
        <v>2020</v>
      </c>
      <c r="I505" s="2607" t="s">
        <v>2058</v>
      </c>
      <c r="J505" s="40"/>
      <c r="K505" s="40"/>
      <c r="L505" s="356"/>
      <c r="M505" s="40"/>
      <c r="N505" s="2607"/>
      <c r="O505" s="1472"/>
      <c r="P505" s="1472"/>
      <c r="Q505" s="40"/>
    </row>
    <row r="506" spans="3:17" s="77" customFormat="1">
      <c r="C506" s="508"/>
      <c r="D506" s="40"/>
      <c r="E506" s="40"/>
      <c r="F506" s="40"/>
      <c r="G506" s="1009" t="s">
        <v>2139</v>
      </c>
      <c r="H506" s="2607">
        <v>2020</v>
      </c>
      <c r="I506" s="2607" t="s">
        <v>2058</v>
      </c>
      <c r="J506" s="40"/>
      <c r="K506" s="40"/>
      <c r="L506" s="40"/>
      <c r="M506" s="40"/>
      <c r="N506" s="2607"/>
      <c r="O506" s="1472"/>
      <c r="P506" s="1472"/>
      <c r="Q506" s="40"/>
    </row>
    <row r="507" spans="3:17" s="77" customFormat="1">
      <c r="C507" s="40"/>
      <c r="D507" s="40"/>
      <c r="E507" s="40"/>
      <c r="F507" s="40"/>
      <c r="G507" s="1009" t="s">
        <v>2140</v>
      </c>
      <c r="H507" s="2607">
        <v>2019</v>
      </c>
      <c r="I507" s="2607" t="s">
        <v>2058</v>
      </c>
      <c r="J507" s="40"/>
      <c r="K507" s="40"/>
      <c r="L507" s="40"/>
      <c r="M507" s="40"/>
      <c r="N507" s="2607"/>
      <c r="O507" s="1472"/>
      <c r="P507" s="1472"/>
      <c r="Q507" s="40"/>
    </row>
    <row r="508" spans="3:17" s="77" customFormat="1">
      <c r="C508" s="40"/>
      <c r="D508" s="40"/>
      <c r="E508" s="40"/>
      <c r="F508" s="40"/>
      <c r="G508" s="1009" t="s">
        <v>2141</v>
      </c>
      <c r="H508" s="40"/>
      <c r="I508" s="40"/>
      <c r="J508" s="40"/>
      <c r="K508" s="40"/>
      <c r="L508" s="40"/>
      <c r="M508" s="40"/>
      <c r="N508" s="2607"/>
      <c r="O508" s="1472"/>
      <c r="P508" s="1472"/>
      <c r="Q508" s="40"/>
    </row>
    <row r="509" spans="3:17" s="77" customFormat="1">
      <c r="C509" s="40"/>
      <c r="D509" s="40"/>
      <c r="E509" s="40"/>
      <c r="F509" s="40"/>
      <c r="G509" s="1009" t="s">
        <v>2142</v>
      </c>
      <c r="H509" s="2607">
        <v>2019</v>
      </c>
      <c r="I509" s="2607" t="s">
        <v>2058</v>
      </c>
      <c r="J509" s="40"/>
      <c r="K509" s="40"/>
      <c r="L509" s="40"/>
      <c r="M509" s="40"/>
      <c r="N509" s="2607"/>
      <c r="O509" s="1472"/>
      <c r="P509" s="1472"/>
      <c r="Q509" s="40"/>
    </row>
    <row r="510" spans="3:17" s="77" customFormat="1">
      <c r="C510" s="40"/>
      <c r="D510" s="40"/>
      <c r="E510" s="40"/>
      <c r="F510" s="40"/>
      <c r="G510" s="1009" t="s">
        <v>2143</v>
      </c>
      <c r="H510" s="2607">
        <v>2020</v>
      </c>
      <c r="I510" s="2607" t="s">
        <v>2058</v>
      </c>
      <c r="J510" s="40"/>
      <c r="K510" s="40"/>
      <c r="L510" s="40"/>
      <c r="M510" s="40"/>
      <c r="N510" s="2607"/>
      <c r="O510" s="1472"/>
      <c r="P510" s="1472"/>
      <c r="Q510" s="40"/>
    </row>
    <row r="511" spans="3:17" s="77" customFormat="1">
      <c r="C511" s="40"/>
      <c r="D511" s="40"/>
      <c r="E511" s="40"/>
      <c r="F511" s="40"/>
      <c r="G511" s="1009" t="s">
        <v>2144</v>
      </c>
      <c r="H511" s="2607">
        <v>2020</v>
      </c>
      <c r="I511" s="2607" t="s">
        <v>2058</v>
      </c>
      <c r="J511" s="40"/>
      <c r="K511" s="40"/>
      <c r="L511" s="40"/>
      <c r="M511" s="40"/>
      <c r="N511" s="2607"/>
      <c r="O511" s="1472"/>
      <c r="P511" s="1472"/>
      <c r="Q511" s="40"/>
    </row>
    <row r="512" spans="3:17" s="77" customFormat="1">
      <c r="C512" s="40"/>
      <c r="D512" s="40"/>
      <c r="E512" s="40"/>
      <c r="F512" s="40"/>
      <c r="G512" s="1009" t="s">
        <v>2145</v>
      </c>
      <c r="H512" s="2607">
        <v>2020</v>
      </c>
      <c r="I512" s="2607" t="s">
        <v>2058</v>
      </c>
      <c r="J512" s="40"/>
      <c r="K512" s="40"/>
      <c r="L512" s="40"/>
      <c r="M512" s="40"/>
      <c r="N512" s="2607"/>
      <c r="O512" s="1472"/>
      <c r="P512" s="1472"/>
      <c r="Q512" s="40"/>
    </row>
    <row r="513" spans="3:17" s="77" customFormat="1">
      <c r="C513" s="40"/>
      <c r="D513" s="40"/>
      <c r="E513" s="40"/>
      <c r="F513" s="40"/>
      <c r="G513" s="1009" t="s">
        <v>2146</v>
      </c>
      <c r="H513" s="2607">
        <v>2019</v>
      </c>
      <c r="I513" s="2607" t="s">
        <v>2058</v>
      </c>
      <c r="J513" s="40"/>
      <c r="K513" s="40"/>
      <c r="L513" s="40"/>
      <c r="M513" s="40"/>
      <c r="N513" s="2607"/>
      <c r="O513" s="1472"/>
      <c r="P513" s="1472"/>
      <c r="Q513" s="40"/>
    </row>
    <row r="514" spans="3:17" s="77" customFormat="1">
      <c r="C514" s="40"/>
      <c r="D514" s="40"/>
      <c r="E514" s="40"/>
      <c r="F514" s="40"/>
      <c r="G514" s="1009" t="s">
        <v>2147</v>
      </c>
      <c r="H514" s="2607">
        <v>2020</v>
      </c>
      <c r="I514" s="2607" t="s">
        <v>2058</v>
      </c>
      <c r="J514" s="40"/>
      <c r="K514" s="40"/>
      <c r="L514" s="40"/>
      <c r="M514" s="40"/>
      <c r="N514" s="2607"/>
      <c r="O514" s="1472"/>
      <c r="P514" s="1472"/>
      <c r="Q514" s="40"/>
    </row>
    <row r="515" spans="3:17" s="77" customFormat="1">
      <c r="C515" s="40"/>
      <c r="D515" s="40"/>
      <c r="E515" s="40"/>
      <c r="F515" s="40"/>
      <c r="G515" s="1009" t="s">
        <v>2148</v>
      </c>
      <c r="H515" s="2607">
        <v>2020</v>
      </c>
      <c r="I515" s="2607" t="s">
        <v>2058</v>
      </c>
      <c r="J515" s="40"/>
      <c r="K515" s="40"/>
      <c r="L515" s="40"/>
      <c r="M515" s="40"/>
      <c r="N515" s="2607"/>
      <c r="O515" s="1472"/>
      <c r="P515" s="1472"/>
      <c r="Q515" s="40"/>
    </row>
    <row r="516" spans="3:17" s="77" customFormat="1">
      <c r="C516" s="40"/>
      <c r="D516" s="40"/>
      <c r="E516" s="40"/>
      <c r="F516" s="40"/>
      <c r="G516" s="1009" t="s">
        <v>2149</v>
      </c>
      <c r="H516" s="2607" t="s">
        <v>2054</v>
      </c>
      <c r="I516" s="1260" t="s">
        <v>1128</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 ref="C297:M297"/>
    <mergeCell ref="C296:M296"/>
    <mergeCell ref="C299:M299"/>
    <mergeCell ref="C300:M300"/>
    <mergeCell ref="C304:M304"/>
    <mergeCell ref="I311:L311"/>
    <mergeCell ref="I244:J244"/>
    <mergeCell ref="M244:N244"/>
    <mergeCell ref="A306:P306"/>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H155:I157"/>
    <mergeCell ref="J155:K157"/>
    <mergeCell ref="L155:M157"/>
    <mergeCell ref="B158:E158"/>
    <mergeCell ref="F158:G158"/>
    <mergeCell ref="H158:I158"/>
    <mergeCell ref="J158:K158"/>
    <mergeCell ref="L158:M158"/>
    <mergeCell ref="L127:M127"/>
    <mergeCell ref="J154:M154"/>
    <mergeCell ref="F155:G157"/>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7"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140625" defaultRowHeight="15"/>
  <cols>
    <col min="1" max="3" width="12.85546875" style="358" customWidth="1"/>
    <col min="4" max="4" width="15.42578125" style="358" customWidth="1"/>
    <col min="5" max="5" width="4.85546875" style="358" customWidth="1"/>
    <col min="6" max="9" width="12.85546875" style="358" customWidth="1"/>
    <col min="10" max="10" width="5.140625" style="358" customWidth="1"/>
    <col min="11" max="16384" width="9.140625" style="358"/>
  </cols>
  <sheetData>
    <row r="1" spans="1:16" ht="15.75">
      <c r="A1" s="4894" t="s">
        <v>7009</v>
      </c>
      <c r="B1" s="4894"/>
      <c r="C1" s="4894"/>
      <c r="D1" s="4894"/>
      <c r="E1" s="4894"/>
      <c r="F1" s="4894"/>
      <c r="G1" s="4894"/>
      <c r="H1" s="4894"/>
      <c r="I1" s="4894"/>
      <c r="J1" s="4894"/>
    </row>
    <row r="2" spans="1:16" ht="15.75">
      <c r="A2" s="4894" t="str">
        <f>'Sensitivity Analysis'!C8</f>
        <v>Westchester Village II</v>
      </c>
      <c r="B2" s="4894"/>
      <c r="C2" s="4894"/>
      <c r="D2" s="4894"/>
      <c r="E2" s="4894"/>
      <c r="F2" s="4894"/>
      <c r="G2" s="4894"/>
      <c r="H2" s="4894"/>
      <c r="I2" s="4894"/>
      <c r="J2" s="4894"/>
    </row>
    <row r="3" spans="1:16" ht="15.75">
      <c r="A3" s="4894" t="str">
        <f>'Subsidy Layering Memo'!F14</f>
        <v>Jonesboro, Clayton</v>
      </c>
      <c r="B3" s="4894"/>
      <c r="C3" s="4894"/>
      <c r="D3" s="4894"/>
      <c r="E3" s="4894"/>
      <c r="F3" s="4894"/>
      <c r="G3" s="4894"/>
      <c r="H3" s="4894"/>
      <c r="I3" s="4894"/>
      <c r="J3" s="4894"/>
    </row>
    <row r="4" spans="1:16" ht="15.75">
      <c r="A4" s="4895" t="s">
        <v>7010</v>
      </c>
      <c r="B4" s="4894"/>
      <c r="C4" s="4894"/>
      <c r="D4" s="4894"/>
      <c r="E4" s="4894"/>
      <c r="F4" s="4894"/>
      <c r="G4" s="4894"/>
      <c r="H4" s="4894"/>
      <c r="I4" s="4894"/>
      <c r="J4" s="4894"/>
    </row>
    <row r="5" spans="1:16" ht="5.25" customHeight="1"/>
    <row r="6" spans="1:16" ht="5.25" customHeight="1"/>
    <row r="7" spans="1:16" ht="15.75">
      <c r="A7" s="4896" t="s">
        <v>7011</v>
      </c>
      <c r="B7" s="4896"/>
      <c r="C7" s="4897"/>
      <c r="M7" s="4888"/>
      <c r="N7" s="4888"/>
      <c r="O7" s="4888"/>
      <c r="P7" s="4888"/>
    </row>
    <row r="8" spans="1:16" ht="57" customHeight="1">
      <c r="A8" s="4889" t="s">
        <v>7012</v>
      </c>
      <c r="B8" s="4889"/>
      <c r="C8" s="4889"/>
      <c r="D8" s="4889"/>
      <c r="E8" s="4889"/>
      <c r="F8" s="4889"/>
      <c r="G8" s="4889"/>
      <c r="H8" s="4889"/>
      <c r="I8" s="4889"/>
      <c r="J8" s="4889"/>
      <c r="K8" s="359"/>
    </row>
    <row r="9" spans="1:16" ht="45.75" customHeight="1">
      <c r="A9" s="4889"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Jonesboro, Clayton County, Georgia, with the development of 60 units set aside for &lt;&lt; Select PROPOSED Tenancy &gt;&gt;.</v>
      </c>
      <c r="B9" s="4889"/>
      <c r="C9" s="4889"/>
      <c r="D9" s="4889"/>
      <c r="E9" s="4889"/>
      <c r="F9" s="4889"/>
      <c r="G9" s="4889"/>
      <c r="H9" s="4889"/>
      <c r="I9" s="4889"/>
      <c r="J9" s="4889"/>
      <c r="K9" s="359"/>
    </row>
    <row r="10" spans="1:16" ht="15.75">
      <c r="A10" s="2511" t="s">
        <v>7013</v>
      </c>
    </row>
    <row r="11" spans="1:16" ht="16.5" customHeight="1">
      <c r="A11" s="4889" t="str">
        <f>'Subsidy Layering Memo'!A50</f>
        <v xml:space="preserve">Ownership entity:  (NAME) LP, a Georgia Limited Partnership, will be the ownership entity for the proposed project. </v>
      </c>
      <c r="B11" s="4891"/>
      <c r="C11" s="4891"/>
      <c r="D11" s="4891"/>
      <c r="E11" s="4891"/>
      <c r="F11" s="4891"/>
      <c r="G11" s="4891"/>
      <c r="H11" s="4891"/>
      <c r="I11" s="4891"/>
      <c r="J11" s="4889"/>
    </row>
    <row r="12" spans="1:16" ht="63.75" customHeight="1">
      <c r="A12" s="4889"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89"/>
      <c r="C12" s="4889"/>
      <c r="D12" s="4889"/>
      <c r="E12" s="4889"/>
      <c r="F12" s="4889"/>
      <c r="G12" s="4889"/>
      <c r="H12" s="4889"/>
      <c r="I12" s="4889"/>
      <c r="J12" s="4889"/>
    </row>
    <row r="13" spans="1:16" ht="48.75" customHeight="1">
      <c r="A13" s="4889"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89"/>
      <c r="C13" s="4889"/>
      <c r="D13" s="4889"/>
      <c r="E13" s="4889"/>
      <c r="F13" s="4889"/>
      <c r="G13" s="4889"/>
      <c r="H13" s="4889"/>
      <c r="I13" s="4889"/>
      <c r="J13" s="4889"/>
    </row>
    <row r="14" spans="1:16" ht="15.75">
      <c r="A14" s="2511" t="s">
        <v>7014</v>
      </c>
      <c r="B14" s="360"/>
    </row>
    <row r="15" spans="1:16">
      <c r="A15" s="358" t="s">
        <v>7015</v>
      </c>
      <c r="D15" s="739" t="s">
        <v>7016</v>
      </c>
    </row>
    <row r="16" spans="1:16">
      <c r="A16" s="358" t="s">
        <v>7017</v>
      </c>
      <c r="D16" s="863">
        <f>'Sensitivity Analysis'!C25</f>
        <v>4150000</v>
      </c>
    </row>
    <row r="17" spans="1:11">
      <c r="A17" s="361" t="s">
        <v>7018</v>
      </c>
      <c r="D17" s="864">
        <f>'Sensitivity Analysis'!C13</f>
        <v>60</v>
      </c>
    </row>
    <row r="18" spans="1:11" ht="14.25" customHeight="1"/>
    <row r="19" spans="1:11" ht="15.75">
      <c r="A19" s="2511" t="s">
        <v>7019</v>
      </c>
      <c r="B19" s="360"/>
      <c r="C19" s="360"/>
    </row>
    <row r="20" spans="1:11" ht="48.75" customHeight="1">
      <c r="A20" s="4892"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2"/>
      <c r="C20" s="4892"/>
      <c r="D20" s="4892"/>
      <c r="E20" s="4892"/>
      <c r="F20" s="4892"/>
      <c r="G20" s="4892"/>
      <c r="H20" s="4892"/>
      <c r="I20" s="4892"/>
      <c r="J20" s="4892"/>
    </row>
    <row r="21" spans="1:11" ht="72.75" customHeight="1">
      <c r="A21" s="4889" t="str">
        <f>'Subsidy Layering Memo'!A67</f>
        <v xml:space="preserve"> will make a capital contribution totaling 10527894 via the syndication of the 2024 Federal LIHTC allocation of 1350000 per annum. will make a capital contribution totaling 5805000 via the syndication of the 2024 State LIHTC allocation of 1350000 per annum.</v>
      </c>
      <c r="B21" s="4889"/>
      <c r="C21" s="4889"/>
      <c r="D21" s="4889"/>
      <c r="E21" s="4889"/>
      <c r="F21" s="4889"/>
      <c r="G21" s="4889"/>
      <c r="H21" s="4889"/>
      <c r="I21" s="4889"/>
      <c r="J21" s="4889"/>
    </row>
    <row r="22" spans="1:11" ht="43.5" customHeight="1">
      <c r="A22" s="4893" t="str">
        <f>'Subsidy Layering Memo'!A68</f>
        <v xml:space="preserve">The total equity price per credit will be 1.21 (0.78 Federal tax credit and 0.43 State tax credit) for a (X%) ownership interest of the Federal Credits and a (X%) ownership interest of the State Credits. </v>
      </c>
      <c r="B22" s="4893"/>
      <c r="C22" s="4893"/>
      <c r="D22" s="4893"/>
      <c r="E22" s="4893"/>
      <c r="F22" s="4893"/>
      <c r="G22" s="4893"/>
      <c r="H22" s="4893"/>
      <c r="I22" s="4893"/>
      <c r="J22" s="4893"/>
    </row>
    <row r="23" spans="1:11" ht="15.75">
      <c r="A23" s="2511" t="s">
        <v>7020</v>
      </c>
      <c r="B23" s="360"/>
      <c r="C23" s="360"/>
      <c r="D23" s="360"/>
      <c r="E23" s="360"/>
      <c r="F23" s="360"/>
    </row>
    <row r="24" spans="1:11" ht="102.75" customHeight="1">
      <c r="A24" s="4889"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89"/>
      <c r="C24" s="4889"/>
      <c r="D24" s="4889"/>
      <c r="E24" s="4889"/>
      <c r="F24" s="4889"/>
      <c r="G24" s="4889"/>
      <c r="H24" s="4889"/>
      <c r="I24" s="4889"/>
      <c r="J24" s="4889"/>
    </row>
    <row r="25" spans="1:11" ht="15" customHeight="1">
      <c r="A25" s="4890"/>
      <c r="B25" s="4890"/>
      <c r="C25" s="4890"/>
      <c r="D25" s="4890"/>
      <c r="E25" s="4890"/>
      <c r="F25" s="4890"/>
      <c r="G25" s="4890"/>
      <c r="H25" s="4890"/>
      <c r="I25" s="4890"/>
      <c r="J25" s="4890"/>
      <c r="K25" s="358" t="s">
        <v>7021</v>
      </c>
    </row>
    <row r="26" spans="1:11" ht="15" customHeight="1">
      <c r="B26" s="2622"/>
      <c r="C26" s="2622"/>
      <c r="D26" s="2622"/>
      <c r="E26" s="2622"/>
      <c r="F26" s="2622"/>
      <c r="G26" s="2622"/>
      <c r="H26" s="2622"/>
      <c r="I26" s="2622" t="s">
        <v>7021</v>
      </c>
      <c r="J26" s="2622"/>
    </row>
    <row r="27" spans="1:11" ht="15.75">
      <c r="A27" s="360" t="s">
        <v>7022</v>
      </c>
    </row>
    <row r="29" spans="1:11" ht="15.75" thickBot="1">
      <c r="A29" s="362"/>
      <c r="B29" s="362"/>
      <c r="C29" s="362"/>
      <c r="D29" s="362"/>
      <c r="F29" s="362"/>
      <c r="G29" s="362"/>
      <c r="H29" s="362"/>
      <c r="I29" s="362"/>
    </row>
    <row r="30" spans="1:11">
      <c r="A30" s="358" t="s">
        <v>7023</v>
      </c>
      <c r="D30" s="358" t="s">
        <v>4582</v>
      </c>
      <c r="F30" s="358" t="s">
        <v>7024</v>
      </c>
      <c r="I30" s="358" t="s">
        <v>4582</v>
      </c>
      <c r="J30" s="358" t="s">
        <v>7021</v>
      </c>
    </row>
  </sheetData>
  <sheetProtection algorithmName="SHA-512" hashValue="r2Uh+D7JOQp16iO2/dVKcaPsBJZYix7TGWGAEl5y8yMEBsh0nS76gGTW/4CIFVlfRYiibO7Dv8XiHxQ2/rmFPQ==" saltValue="+UNKC4wcZksiH8yPr9/mIQ==" spinCount="100000" sheet="1" objects="1" scenarios="1" formatColumns="0" formatRows="0"/>
  <mergeCells count="16">
    <mergeCell ref="A1:J1"/>
    <mergeCell ref="A2:J2"/>
    <mergeCell ref="A3:J3"/>
    <mergeCell ref="A4:J4"/>
    <mergeCell ref="A7:C7"/>
    <mergeCell ref="M7:P7"/>
    <mergeCell ref="A9:J9"/>
    <mergeCell ref="A25:J25"/>
    <mergeCell ref="A11:J11"/>
    <mergeCell ref="A12:J12"/>
    <mergeCell ref="A13:J13"/>
    <mergeCell ref="A20:J20"/>
    <mergeCell ref="A21:J21"/>
    <mergeCell ref="A24:J24"/>
    <mergeCell ref="A8:J8"/>
    <mergeCell ref="A22:J22"/>
  </mergeCells>
  <printOptions horizontalCentered="1"/>
  <pageMargins left="0.5" right="0.5" top="0.5" bottom="0.5" header="0.3" footer="0.3"/>
  <pageSetup scale="84"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140625" defaultRowHeight="14.25"/>
  <cols>
    <col min="1" max="1" width="9.140625" style="366"/>
    <col min="2" max="2" width="7.85546875" style="366" customWidth="1"/>
    <col min="3" max="3" width="14.85546875" style="366" customWidth="1"/>
    <col min="4" max="4" width="20.140625" style="366" customWidth="1"/>
    <col min="5" max="5" width="8" style="366" customWidth="1"/>
    <col min="6" max="6" width="5.140625" style="366" customWidth="1"/>
    <col min="7" max="7" width="5.42578125" style="366" customWidth="1"/>
    <col min="8" max="8" width="8.5703125" style="366" customWidth="1"/>
    <col min="9" max="9" width="28.5703125" style="366" customWidth="1"/>
    <col min="10" max="10" width="4.140625" style="366" hidden="1" customWidth="1"/>
    <col min="11" max="11" width="9.140625" style="366"/>
    <col min="12" max="12" width="16.140625" style="366" customWidth="1"/>
    <col min="13" max="13" width="11.140625" style="366" customWidth="1"/>
    <col min="14" max="14" width="10.85546875" style="366" bestFit="1" customWidth="1"/>
    <col min="15" max="15" width="28.5703125" style="366" customWidth="1"/>
    <col min="16" max="16384" width="9.140625" style="366"/>
  </cols>
  <sheetData>
    <row r="2" spans="1:10" ht="15">
      <c r="A2" s="363" t="s">
        <v>7025</v>
      </c>
      <c r="B2" s="364"/>
      <c r="C2" s="364"/>
      <c r="D2" s="364"/>
      <c r="E2" s="365"/>
      <c r="F2" s="364"/>
      <c r="G2" s="364"/>
      <c r="H2" s="364"/>
      <c r="I2" s="364"/>
      <c r="J2" s="364"/>
    </row>
    <row r="3" spans="1:10" ht="15">
      <c r="A3" s="367"/>
    </row>
    <row r="4" spans="1:10" ht="15">
      <c r="A4" s="367" t="s">
        <v>7026</v>
      </c>
      <c r="D4" s="366" t="s">
        <v>7027</v>
      </c>
    </row>
    <row r="5" spans="1:10" ht="15">
      <c r="A5" s="367"/>
    </row>
    <row r="6" spans="1:10" ht="15">
      <c r="A6" s="367" t="s">
        <v>7028</v>
      </c>
      <c r="D6" s="366" t="s">
        <v>7029</v>
      </c>
    </row>
    <row r="7" spans="1:10" ht="15">
      <c r="A7" s="367"/>
    </row>
    <row r="8" spans="1:10" ht="15">
      <c r="A8" s="367" t="s">
        <v>7030</v>
      </c>
      <c r="D8" s="368" t="s">
        <v>7031</v>
      </c>
    </row>
    <row r="9" spans="1:10" ht="15">
      <c r="A9" s="367"/>
    </row>
    <row r="10" spans="1:10" ht="15">
      <c r="A10" s="367" t="s">
        <v>7032</v>
      </c>
      <c r="D10" s="368" t="s">
        <v>7033</v>
      </c>
    </row>
    <row r="11" spans="1:10" ht="15">
      <c r="A11" s="367"/>
      <c r="D11" s="2626"/>
    </row>
    <row r="12" spans="1:10" ht="15">
      <c r="A12" s="367" t="s">
        <v>7034</v>
      </c>
      <c r="D12" s="366" t="s">
        <v>45</v>
      </c>
      <c r="F12" s="2626" t="str">
        <f>'Sensitivity Analysis'!$C$8</f>
        <v>Westchester Village II</v>
      </c>
    </row>
    <row r="13" spans="1:10" ht="15">
      <c r="A13" s="367"/>
      <c r="D13" s="366" t="s">
        <v>7035</v>
      </c>
      <c r="F13" s="2626" t="str">
        <f>'Sensitivity Analysis'!E8</f>
        <v>2026-0xx</v>
      </c>
    </row>
    <row r="14" spans="1:10" ht="15">
      <c r="A14" s="367"/>
      <c r="D14" s="366" t="s">
        <v>7036</v>
      </c>
      <c r="F14" s="2626" t="str">
        <f>'Sensitivity Analysis'!H8</f>
        <v>Jonesboro, Clayton</v>
      </c>
    </row>
    <row r="15" spans="1:10" ht="15">
      <c r="A15" s="367"/>
      <c r="D15" s="366" t="s">
        <v>7037</v>
      </c>
      <c r="F15" s="4898">
        <f>'Sensitivity Analysis'!$C$25</f>
        <v>4150000</v>
      </c>
      <c r="G15" s="4898"/>
      <c r="H15" s="4898"/>
    </row>
    <row r="16" spans="1:10">
      <c r="D16" s="369" t="s">
        <v>7038</v>
      </c>
      <c r="F16" s="1720">
        <f>'Sensitivity Analysis'!C13</f>
        <v>60</v>
      </c>
      <c r="G16" s="1718">
        <f>'Sensitivity Analysis'!E13</f>
        <v>60</v>
      </c>
      <c r="H16" s="1719">
        <f>ProrationMethodCostAllocatnDCA!$D$64</f>
        <v>0</v>
      </c>
    </row>
    <row r="17" spans="1:18">
      <c r="A17" s="369"/>
      <c r="D17" s="369" t="s">
        <v>7039</v>
      </c>
      <c r="F17" s="370" t="str">
        <f>'Sensitivity Analysis'!C14</f>
        <v>&lt;&lt; Select PROPOSED Tenancy &gt;&gt;</v>
      </c>
    </row>
    <row r="18" spans="1:18" ht="15">
      <c r="A18" s="367"/>
      <c r="D18" s="369" t="s">
        <v>7040</v>
      </c>
      <c r="F18" s="2626" t="str">
        <f>'Sensitivity Analysis'!H15</f>
        <v>Urban</v>
      </c>
    </row>
    <row r="19" spans="1:18" ht="15">
      <c r="A19" s="367"/>
      <c r="D19" s="369" t="s">
        <v>7041</v>
      </c>
      <c r="F19" s="2626">
        <f>'Sensitivity Analysis'!E16</f>
        <v>0</v>
      </c>
    </row>
    <row r="20" spans="1:18" ht="15">
      <c r="A20" s="367"/>
      <c r="D20" s="369"/>
    </row>
    <row r="21" spans="1:18" ht="15">
      <c r="A21" s="2512" t="s">
        <v>7042</v>
      </c>
    </row>
    <row r="22" spans="1:18" ht="111.75" customHeight="1">
      <c r="A22" s="4904" t="s">
        <v>7043</v>
      </c>
      <c r="B22" s="4904"/>
      <c r="C22" s="4904"/>
      <c r="D22" s="4904"/>
      <c r="E22" s="4904"/>
      <c r="F22" s="4904"/>
      <c r="G22" s="4904"/>
      <c r="H22" s="4904"/>
      <c r="I22" s="4904"/>
      <c r="J22" s="4904"/>
      <c r="K22" s="4906" t="s">
        <v>7044</v>
      </c>
      <c r="L22" s="4906"/>
      <c r="M22" s="4906"/>
      <c r="N22" s="4906"/>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911"/>
      <c r="B24" s="4911"/>
      <c r="C24" s="4911"/>
      <c r="D24" s="4911"/>
      <c r="E24" s="4911"/>
      <c r="F24" s="4911"/>
      <c r="G24" s="4911"/>
      <c r="H24" s="4911"/>
      <c r="I24" s="4911"/>
      <c r="J24" s="4911"/>
    </row>
    <row r="25" spans="1:18" ht="10.5" hidden="1" customHeight="1">
      <c r="A25" s="4893"/>
      <c r="B25" s="4893"/>
      <c r="C25" s="4893"/>
      <c r="D25" s="4893"/>
      <c r="E25" s="4893"/>
      <c r="F25" s="4893"/>
      <c r="G25" s="4893"/>
      <c r="H25" s="4893"/>
      <c r="I25" s="4893"/>
      <c r="J25" s="4893"/>
    </row>
    <row r="26" spans="1:18" ht="15">
      <c r="A26" s="2512" t="s">
        <v>7045</v>
      </c>
    </row>
    <row r="27" spans="1:18" ht="14.25" customHeight="1">
      <c r="A27" s="4912" t="s">
        <v>7046</v>
      </c>
      <c r="B27" s="4912"/>
      <c r="C27" s="4912"/>
      <c r="D27" s="4912"/>
      <c r="E27" s="4912"/>
      <c r="F27" s="4912"/>
      <c r="G27" s="4912"/>
      <c r="H27" s="4912"/>
      <c r="I27" s="4912"/>
      <c r="J27" s="4912"/>
    </row>
    <row r="28" spans="1:18" ht="14.25" customHeight="1">
      <c r="A28" s="4912"/>
      <c r="B28" s="4912"/>
      <c r="C28" s="4912"/>
      <c r="D28" s="4912"/>
      <c r="E28" s="4912"/>
      <c r="F28" s="4912"/>
      <c r="G28" s="4912"/>
      <c r="H28" s="4912"/>
      <c r="I28" s="4912"/>
      <c r="J28" s="4912"/>
    </row>
    <row r="29" spans="1:18" ht="6.75" customHeight="1">
      <c r="A29" s="4912"/>
      <c r="B29" s="4912"/>
      <c r="C29" s="4912"/>
      <c r="D29" s="4912"/>
      <c r="E29" s="4912"/>
      <c r="F29" s="4912"/>
      <c r="G29" s="4912"/>
      <c r="H29" s="4912"/>
      <c r="I29" s="4912"/>
      <c r="J29" s="4912"/>
    </row>
    <row r="30" spans="1:18" ht="21.75" customHeight="1">
      <c r="A30" s="4912"/>
      <c r="B30" s="4912"/>
      <c r="C30" s="4912"/>
      <c r="D30" s="4912"/>
      <c r="E30" s="4912"/>
      <c r="F30" s="4912"/>
      <c r="G30" s="4912"/>
      <c r="H30" s="4912"/>
      <c r="I30" s="4912"/>
      <c r="J30" s="4912"/>
    </row>
    <row r="31" spans="1:18" ht="20.25" customHeight="1">
      <c r="A31" s="4912"/>
      <c r="B31" s="4912"/>
      <c r="C31" s="4912"/>
      <c r="D31" s="4912"/>
      <c r="E31" s="4912"/>
      <c r="F31" s="4912"/>
      <c r="G31" s="4912"/>
      <c r="H31" s="4912"/>
      <c r="I31" s="4912"/>
      <c r="J31" s="4912"/>
    </row>
    <row r="32" spans="1:18" ht="54.75" customHeight="1">
      <c r="A32" s="4912"/>
      <c r="B32" s="4912"/>
      <c r="C32" s="4912"/>
      <c r="D32" s="4912"/>
      <c r="E32" s="4912"/>
      <c r="F32" s="4912"/>
      <c r="G32" s="4912"/>
      <c r="H32" s="4912"/>
      <c r="I32" s="4912"/>
      <c r="J32" s="4912"/>
    </row>
    <row r="33" spans="1:10" ht="0.75" hidden="1" customHeight="1">
      <c r="A33" s="4912"/>
      <c r="B33" s="4912"/>
      <c r="C33" s="4912"/>
      <c r="D33" s="4912"/>
      <c r="E33" s="4912"/>
      <c r="F33" s="4912"/>
      <c r="G33" s="4912"/>
      <c r="H33" s="4912"/>
      <c r="I33" s="4912"/>
      <c r="J33" s="4912"/>
    </row>
    <row r="34" spans="1:10" ht="3.75" hidden="1" customHeight="1">
      <c r="A34" s="4912"/>
      <c r="B34" s="4912"/>
      <c r="C34" s="4912"/>
      <c r="D34" s="4912"/>
      <c r="E34" s="4912"/>
      <c r="F34" s="4912"/>
      <c r="G34" s="4912"/>
      <c r="H34" s="4912"/>
      <c r="I34" s="4912"/>
      <c r="J34" s="4912"/>
    </row>
    <row r="35" spans="1:10" ht="5.25" customHeight="1">
      <c r="A35" s="862"/>
      <c r="B35" s="862"/>
      <c r="C35" s="862"/>
      <c r="D35" s="862"/>
      <c r="E35" s="862"/>
      <c r="F35" s="862"/>
      <c r="G35" s="862"/>
      <c r="H35" s="862"/>
      <c r="I35" s="862"/>
      <c r="J35" s="862"/>
    </row>
    <row r="36" spans="1:10" ht="19.5" customHeight="1">
      <c r="A36" s="4911" t="s">
        <v>7047</v>
      </c>
      <c r="B36" s="4911"/>
      <c r="C36" s="4911"/>
      <c r="D36" s="2621"/>
      <c r="E36" s="2621"/>
      <c r="F36" s="2621"/>
      <c r="G36" s="2621"/>
      <c r="H36" s="2621"/>
      <c r="I36" s="2621"/>
      <c r="J36" s="2621"/>
    </row>
    <row r="37" spans="1:10" ht="22.5" customHeight="1">
      <c r="A37" s="4893" t="s">
        <v>1510</v>
      </c>
      <c r="B37" s="4893"/>
      <c r="C37" s="4893"/>
      <c r="D37" s="4893"/>
      <c r="E37" s="4893"/>
      <c r="F37" s="4893"/>
      <c r="G37" s="4893"/>
      <c r="H37" s="4893"/>
      <c r="I37" s="4893"/>
      <c r="J37" s="4893"/>
    </row>
    <row r="38" spans="1:10" ht="22.5" customHeight="1">
      <c r="A38" s="4893" t="s">
        <v>1513</v>
      </c>
      <c r="B38" s="4893"/>
      <c r="C38" s="4893"/>
      <c r="D38" s="4893"/>
      <c r="E38" s="4893"/>
      <c r="F38" s="4893"/>
      <c r="G38" s="4893"/>
      <c r="H38" s="4893"/>
      <c r="I38" s="4893"/>
      <c r="J38" s="4893"/>
    </row>
    <row r="39" spans="1:10" ht="22.5" customHeight="1">
      <c r="A39" s="4893" t="s">
        <v>1514</v>
      </c>
      <c r="B39" s="4893"/>
      <c r="C39" s="4893"/>
      <c r="D39" s="4893"/>
      <c r="E39" s="4893"/>
      <c r="F39" s="4893"/>
      <c r="G39" s="4893"/>
      <c r="H39" s="4893"/>
      <c r="I39" s="4893"/>
      <c r="J39" s="4893"/>
    </row>
    <row r="40" spans="1:10" ht="22.5" customHeight="1">
      <c r="A40" s="4893" t="s">
        <v>1515</v>
      </c>
      <c r="B40" s="4893"/>
      <c r="C40" s="4893"/>
      <c r="D40" s="4893"/>
      <c r="E40" s="4893"/>
      <c r="F40" s="4893"/>
      <c r="G40" s="4893"/>
      <c r="H40" s="4893"/>
      <c r="I40" s="4893"/>
      <c r="J40" s="4893"/>
    </row>
    <row r="41" spans="1:10" ht="22.5" customHeight="1">
      <c r="A41" s="4893" t="s">
        <v>4562</v>
      </c>
      <c r="B41" s="4893"/>
      <c r="C41" s="4893"/>
      <c r="D41" s="4893"/>
      <c r="E41" s="4893"/>
      <c r="F41" s="4893"/>
      <c r="G41" s="4893"/>
      <c r="H41" s="4893"/>
      <c r="I41" s="4893"/>
      <c r="J41" s="4893"/>
    </row>
    <row r="42" spans="1:10" ht="22.5" customHeight="1">
      <c r="A42" s="4893" t="s">
        <v>4564</v>
      </c>
      <c r="B42" s="4893"/>
      <c r="C42" s="4893"/>
      <c r="D42" s="4893"/>
      <c r="E42" s="4893"/>
      <c r="F42" s="4893"/>
      <c r="G42" s="4893"/>
      <c r="H42" s="4893"/>
      <c r="I42" s="4893"/>
      <c r="J42" s="4893"/>
    </row>
    <row r="43" spans="1:10" ht="22.5" customHeight="1">
      <c r="A43" s="4893" t="s">
        <v>4566</v>
      </c>
      <c r="B43" s="4893"/>
      <c r="C43" s="4893"/>
      <c r="D43" s="4893"/>
      <c r="E43" s="4893"/>
      <c r="F43" s="4893"/>
      <c r="G43" s="4893"/>
      <c r="H43" s="4893"/>
      <c r="I43" s="4893"/>
      <c r="J43" s="4893"/>
    </row>
    <row r="44" spans="1:10" ht="22.5" customHeight="1">
      <c r="A44" s="4893" t="s">
        <v>4568</v>
      </c>
      <c r="B44" s="4893"/>
      <c r="C44" s="4893"/>
      <c r="D44" s="4893"/>
      <c r="E44" s="4893"/>
      <c r="F44" s="4893"/>
      <c r="G44" s="4893"/>
      <c r="H44" s="4893"/>
      <c r="I44" s="4893"/>
      <c r="J44" s="4893"/>
    </row>
    <row r="45" spans="1:10" ht="2.25" customHeight="1">
      <c r="A45" s="2621"/>
      <c r="B45" s="2621"/>
      <c r="C45" s="2621"/>
      <c r="D45" s="2621"/>
      <c r="E45" s="2621"/>
      <c r="F45" s="2621"/>
      <c r="G45" s="2621"/>
      <c r="H45" s="2621"/>
      <c r="I45" s="2621"/>
      <c r="J45" s="2621"/>
    </row>
    <row r="46" spans="1:10" ht="15">
      <c r="A46" s="2512" t="s">
        <v>7048</v>
      </c>
    </row>
    <row r="47" spans="1:10" ht="135" customHeight="1">
      <c r="A47" s="4893" t="s">
        <v>7049</v>
      </c>
      <c r="B47" s="4893"/>
      <c r="C47" s="4893"/>
      <c r="D47" s="4893"/>
      <c r="E47" s="4893"/>
      <c r="F47" s="4893"/>
      <c r="G47" s="4893"/>
      <c r="H47" s="4893"/>
      <c r="I47" s="4893"/>
      <c r="J47" s="4893"/>
    </row>
    <row r="48" spans="1:10" ht="6" customHeight="1">
      <c r="A48" s="2623"/>
      <c r="B48" s="2623"/>
      <c r="C48" s="2623"/>
      <c r="D48" s="2623"/>
      <c r="E48" s="2623"/>
      <c r="F48" s="2623"/>
      <c r="G48" s="2623"/>
      <c r="H48" s="2623"/>
      <c r="I48" s="2623"/>
      <c r="J48" s="2623"/>
    </row>
    <row r="49" spans="1:12" ht="15">
      <c r="A49" s="2512" t="s">
        <v>7050</v>
      </c>
    </row>
    <row r="50" spans="1:12" ht="33" customHeight="1">
      <c r="A50" s="4889" t="s">
        <v>7051</v>
      </c>
      <c r="B50" s="4891"/>
      <c r="C50" s="4891"/>
      <c r="D50" s="4891"/>
      <c r="E50" s="4891"/>
      <c r="F50" s="4891"/>
      <c r="G50" s="4891"/>
      <c r="H50" s="4891"/>
      <c r="I50" s="4891"/>
      <c r="J50" s="4889"/>
    </row>
    <row r="51" spans="1:12" ht="3" customHeight="1"/>
    <row r="52" spans="1:12" ht="72.75" customHeight="1">
      <c r="A52" s="4889" t="s">
        <v>7052</v>
      </c>
      <c r="B52" s="4889"/>
      <c r="C52" s="4889"/>
      <c r="D52" s="4889"/>
      <c r="E52" s="4889"/>
      <c r="F52" s="4889"/>
      <c r="G52" s="4889"/>
      <c r="H52" s="4889"/>
      <c r="I52" s="4889"/>
      <c r="J52" s="4889"/>
    </row>
    <row r="53" spans="1:12" ht="3" customHeight="1">
      <c r="A53" s="2621"/>
      <c r="B53" s="2621"/>
      <c r="C53" s="2621"/>
      <c r="D53" s="2621"/>
      <c r="E53" s="2621"/>
      <c r="F53" s="2621"/>
      <c r="G53" s="2621"/>
      <c r="H53" s="2621"/>
      <c r="I53" s="2621"/>
      <c r="J53" s="2621"/>
    </row>
    <row r="54" spans="1:12" ht="56.25" customHeight="1">
      <c r="A54" s="4889" t="s">
        <v>7053</v>
      </c>
      <c r="B54" s="4889"/>
      <c r="C54" s="4889"/>
      <c r="D54" s="4889"/>
      <c r="E54" s="4889"/>
      <c r="F54" s="4889"/>
      <c r="G54" s="4889"/>
      <c r="H54" s="4889"/>
      <c r="I54" s="4889"/>
      <c r="J54" s="4889"/>
    </row>
    <row r="55" spans="1:12" ht="3" customHeight="1">
      <c r="A55" s="2621"/>
      <c r="B55" s="2621"/>
      <c r="C55" s="2621"/>
      <c r="D55" s="2621"/>
      <c r="E55" s="2621"/>
      <c r="F55" s="2621"/>
      <c r="G55" s="2621"/>
      <c r="H55" s="2621"/>
      <c r="I55" s="2621"/>
      <c r="J55" s="2621"/>
    </row>
    <row r="56" spans="1:12" ht="49.5" customHeight="1">
      <c r="A56" s="4889" t="s">
        <v>7054</v>
      </c>
      <c r="B56" s="4889"/>
      <c r="C56" s="4889"/>
      <c r="D56" s="4889"/>
      <c r="E56" s="4889"/>
      <c r="F56" s="4889"/>
      <c r="G56" s="4889"/>
      <c r="H56" s="4889"/>
      <c r="I56" s="4889"/>
      <c r="J56" s="2621"/>
    </row>
    <row r="57" spans="1:12" ht="3" customHeight="1">
      <c r="A57" s="2621"/>
      <c r="B57" s="2621"/>
      <c r="C57" s="2621"/>
      <c r="D57" s="2621"/>
      <c r="E57" s="2621"/>
      <c r="F57" s="2621"/>
      <c r="G57" s="2621"/>
      <c r="H57" s="2621"/>
      <c r="I57" s="2621"/>
      <c r="J57" s="2621"/>
    </row>
    <row r="58" spans="1:12" ht="54.75" customHeight="1">
      <c r="A58" s="4903" t="s">
        <v>7055</v>
      </c>
      <c r="B58" s="4889"/>
      <c r="C58" s="4889"/>
      <c r="D58" s="4889"/>
      <c r="E58" s="4889"/>
      <c r="F58" s="4889"/>
      <c r="G58" s="4889"/>
      <c r="H58" s="4889"/>
      <c r="I58" s="4889"/>
      <c r="J58" s="2621"/>
    </row>
    <row r="59" spans="1:12" ht="3" customHeight="1">
      <c r="A59" s="2621"/>
      <c r="B59" s="2621"/>
      <c r="C59" s="2621"/>
      <c r="D59" s="2621"/>
      <c r="E59" s="2621"/>
      <c r="F59" s="2621"/>
      <c r="G59" s="2621"/>
      <c r="H59" s="2621"/>
      <c r="I59" s="2621"/>
      <c r="J59" s="2621"/>
    </row>
    <row r="60" spans="1:12" ht="62.25" customHeight="1">
      <c r="A60" s="4889" t="s">
        <v>7056</v>
      </c>
      <c r="B60" s="4889"/>
      <c r="C60" s="4889"/>
      <c r="D60" s="4889"/>
      <c r="E60" s="4889"/>
      <c r="F60" s="4889"/>
      <c r="G60" s="4889"/>
      <c r="H60" s="4889"/>
      <c r="I60" s="4889"/>
      <c r="J60" s="4889"/>
    </row>
    <row r="61" spans="1:12" ht="3" customHeight="1"/>
    <row r="62" spans="1:12" ht="73.5" customHeight="1">
      <c r="A62" s="4889" t="s">
        <v>7057</v>
      </c>
      <c r="B62" s="4889"/>
      <c r="C62" s="4889"/>
      <c r="D62" s="4889"/>
      <c r="E62" s="4889"/>
      <c r="F62" s="4889"/>
      <c r="G62" s="4889"/>
      <c r="H62" s="4889"/>
      <c r="I62" s="4889"/>
      <c r="J62" s="4889"/>
    </row>
    <row r="63" spans="1:12" ht="6" customHeight="1">
      <c r="A63" s="2621" t="s">
        <v>7021</v>
      </c>
      <c r="B63" s="2621"/>
      <c r="C63" s="2621"/>
      <c r="D63" s="2621"/>
      <c r="E63" s="2621"/>
      <c r="F63" s="2621"/>
      <c r="G63" s="2621"/>
      <c r="H63" s="2621"/>
      <c r="I63" s="2621"/>
      <c r="J63" s="2621"/>
    </row>
    <row r="64" spans="1:12" ht="15">
      <c r="A64" s="2512" t="s">
        <v>7058</v>
      </c>
      <c r="L64" s="372" t="s">
        <v>7059</v>
      </c>
    </row>
    <row r="65" spans="1:17" ht="46.5" customHeight="1">
      <c r="A65" s="4904" t="s">
        <v>7060</v>
      </c>
      <c r="B65" s="4904"/>
      <c r="C65" s="4904"/>
      <c r="D65" s="4904"/>
      <c r="E65" s="4904"/>
      <c r="F65" s="4904"/>
      <c r="G65" s="4904"/>
      <c r="H65" s="4904"/>
      <c r="I65" s="4904"/>
      <c r="J65" s="4904"/>
      <c r="L65" s="373">
        <f>'Closing term sheet'!C135</f>
        <v>1124248.5</v>
      </c>
      <c r="M65" s="374"/>
      <c r="N65" s="374"/>
      <c r="O65" s="374"/>
    </row>
    <row r="66" spans="1:17" ht="7.5" customHeight="1">
      <c r="A66" s="2621"/>
      <c r="B66" s="2621"/>
      <c r="C66" s="2621"/>
      <c r="D66" s="2621"/>
      <c r="E66" s="2621"/>
      <c r="F66" s="2621"/>
      <c r="G66" s="2621"/>
      <c r="H66" s="2621"/>
      <c r="I66" s="2621"/>
      <c r="J66" s="2621"/>
      <c r="L66" s="375" t="s">
        <v>7061</v>
      </c>
      <c r="M66" s="376" t="s">
        <v>7062</v>
      </c>
      <c r="N66" s="377" t="s">
        <v>7063</v>
      </c>
      <c r="O66" s="375" t="s">
        <v>7064</v>
      </c>
      <c r="P66" s="376" t="s">
        <v>7065</v>
      </c>
      <c r="Q66" s="377" t="s">
        <v>7066</v>
      </c>
    </row>
    <row r="67" spans="1:17" ht="78.75" customHeight="1">
      <c r="A67" s="4889"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10527894 via the syndication of the 2024 Federal LIHTC allocation of 1350000 per annum. will make a capital contribution totaling 5805000 via the syndication of the 2024 State LIHTC allocation of 1350000 per annum.</v>
      </c>
      <c r="B67" s="4889"/>
      <c r="C67" s="4889"/>
      <c r="D67" s="4889"/>
      <c r="E67" s="4889"/>
      <c r="F67" s="4889"/>
      <c r="G67" s="4889"/>
      <c r="H67" s="4889"/>
      <c r="I67" s="4889"/>
      <c r="J67" s="378"/>
      <c r="L67" s="1721">
        <f>'Part II-Sources of Funds'!I53</f>
        <v>10527894</v>
      </c>
      <c r="M67" s="1722">
        <f>'Part III-A-Uses of Funds'!$J$192</f>
        <v>1350000</v>
      </c>
      <c r="N67" s="1723">
        <f>'Part III-A-Uses of Funds'!N183</f>
        <v>0.78</v>
      </c>
      <c r="O67" s="1721">
        <f>'Part II-Sources of Funds'!I54</f>
        <v>5805000</v>
      </c>
      <c r="P67" s="1722">
        <f>M67</f>
        <v>1350000</v>
      </c>
      <c r="Q67" s="1723">
        <f>'Part III-A-Uses of Funds'!Q183</f>
        <v>0.43</v>
      </c>
    </row>
    <row r="68" spans="1:17" ht="39.75" customHeight="1">
      <c r="A68" s="4893" t="str">
        <f>_xlfn.CONCAT("The total equity price per credit will be ",SUM(N67,Q67)," (",N67," Federal tax credit and ",Q67," State tax credit) for a (X%) ownership interest of the Federal Credits and a (X%) ownership interest of the State Credits. ")</f>
        <v xml:space="preserve">The total equity price per credit will be 1.21 (0.78 Federal tax credit and 0.43 State tax credit) for a (X%) ownership interest of the Federal Credits and a (X%) ownership interest of the State Credits. </v>
      </c>
      <c r="B68" s="4893"/>
      <c r="C68" s="4893"/>
      <c r="D68" s="4893"/>
      <c r="E68" s="4893"/>
      <c r="F68" s="4893"/>
      <c r="G68" s="4893"/>
      <c r="H68" s="4893"/>
      <c r="I68" s="4893"/>
      <c r="J68" s="378"/>
      <c r="L68" s="1040"/>
      <c r="M68" s="1040"/>
      <c r="N68" s="465"/>
      <c r="O68" s="1040"/>
      <c r="P68" s="1040"/>
      <c r="Q68" s="465"/>
    </row>
    <row r="69" spans="1:17" ht="18.75" customHeight="1">
      <c r="A69" s="379" t="s">
        <v>7067</v>
      </c>
    </row>
    <row r="70" spans="1:17" ht="177" customHeight="1">
      <c r="A70" s="4889" t="s">
        <v>7068</v>
      </c>
      <c r="B70" s="4889"/>
      <c r="C70" s="4889"/>
      <c r="D70" s="4889"/>
      <c r="E70" s="4889"/>
      <c r="F70" s="4889"/>
      <c r="G70" s="4889"/>
      <c r="H70" s="4889"/>
      <c r="I70" s="4889"/>
      <c r="J70" s="4889"/>
      <c r="L70" s="380">
        <f>'Part VI-Pro Forma'!K72</f>
        <v>3358703.3582890108</v>
      </c>
      <c r="M70" s="4905" t="s">
        <v>7069</v>
      </c>
      <c r="N70" s="4906"/>
    </row>
    <row r="71" spans="1:17" ht="6" customHeight="1">
      <c r="A71" s="2512"/>
    </row>
    <row r="72" spans="1:17" ht="15">
      <c r="A72" s="2512" t="s">
        <v>7070</v>
      </c>
    </row>
    <row r="73" spans="1:17" ht="72.599999999999994" customHeight="1">
      <c r="A73" s="4889" t="s">
        <v>7071</v>
      </c>
      <c r="B73" s="4889"/>
      <c r="C73" s="4889"/>
      <c r="D73" s="4889"/>
      <c r="E73" s="4889"/>
      <c r="F73" s="4889"/>
      <c r="G73" s="4889"/>
      <c r="H73" s="4889"/>
      <c r="I73" s="4889"/>
      <c r="J73" s="4889"/>
    </row>
    <row r="74" spans="1:17" ht="36" customHeight="1">
      <c r="A74" s="4889" t="s">
        <v>7072</v>
      </c>
      <c r="B74" s="4889"/>
      <c r="C74" s="4889"/>
      <c r="D74" s="4889"/>
      <c r="E74" s="4889"/>
      <c r="F74" s="4889"/>
      <c r="G74" s="4889"/>
      <c r="H74" s="4889"/>
      <c r="I74" s="4889"/>
      <c r="J74" s="4889"/>
    </row>
    <row r="75" spans="1:17" ht="6" customHeight="1">
      <c r="A75" s="2512"/>
    </row>
    <row r="76" spans="1:17" ht="15">
      <c r="A76" s="2512" t="s">
        <v>7073</v>
      </c>
    </row>
    <row r="77" spans="1:17" ht="105.75" customHeight="1">
      <c r="A77" s="4889" t="s">
        <v>7074</v>
      </c>
      <c r="B77" s="4889"/>
      <c r="C77" s="4889"/>
      <c r="D77" s="4889"/>
      <c r="E77" s="4889"/>
      <c r="F77" s="4889"/>
      <c r="G77" s="4889"/>
      <c r="H77" s="4889"/>
      <c r="I77" s="4889"/>
      <c r="J77" s="4889"/>
    </row>
    <row r="78" spans="1:17" ht="6" customHeight="1">
      <c r="A78" s="2512"/>
    </row>
    <row r="79" spans="1:17" ht="15">
      <c r="A79" s="2512" t="s">
        <v>7075</v>
      </c>
    </row>
    <row r="80" spans="1:17" ht="66" customHeight="1">
      <c r="A80" s="4889" t="s">
        <v>7076</v>
      </c>
      <c r="B80" s="4889"/>
      <c r="C80" s="4889"/>
      <c r="D80" s="4889"/>
      <c r="E80" s="4889"/>
      <c r="F80" s="4889"/>
      <c r="G80" s="4889"/>
      <c r="H80" s="4889"/>
      <c r="I80" s="4889"/>
      <c r="J80" s="4889"/>
    </row>
    <row r="81" spans="1:15" s="862" customFormat="1" ht="6" customHeight="1">
      <c r="A81" s="4889"/>
      <c r="B81" s="4889"/>
      <c r="C81" s="4889"/>
      <c r="D81" s="4889"/>
      <c r="E81" s="4889"/>
      <c r="F81" s="4889"/>
      <c r="G81" s="4889"/>
      <c r="H81" s="4889"/>
      <c r="I81" s="4889"/>
      <c r="J81" s="4889"/>
    </row>
    <row r="82" spans="1:15" ht="16.5" customHeight="1">
      <c r="A82" s="2625" t="s">
        <v>7077</v>
      </c>
      <c r="B82" s="371"/>
      <c r="C82" s="371"/>
      <c r="D82" s="2626"/>
      <c r="E82" s="371"/>
      <c r="F82" s="371"/>
      <c r="G82" s="371"/>
      <c r="H82" s="371"/>
      <c r="I82" s="371"/>
      <c r="J82" s="381"/>
    </row>
    <row r="83" spans="1:15" s="862" customFormat="1" ht="63" customHeight="1">
      <c r="A83" s="4889" t="s">
        <v>7078</v>
      </c>
      <c r="B83" s="4889"/>
      <c r="C83" s="4889"/>
      <c r="D83" s="4889"/>
      <c r="E83" s="4889"/>
      <c r="F83" s="4889"/>
      <c r="G83" s="4889"/>
      <c r="H83" s="4889"/>
      <c r="I83" s="4889"/>
      <c r="J83" s="4889"/>
    </row>
    <row r="84" spans="1:15" s="862" customFormat="1" ht="6" customHeight="1">
      <c r="A84" s="2621"/>
      <c r="B84" s="2621"/>
      <c r="C84" s="2621"/>
      <c r="D84" s="2621"/>
      <c r="E84" s="2621"/>
      <c r="F84" s="2621"/>
      <c r="G84" s="2621"/>
      <c r="H84" s="2621"/>
      <c r="I84" s="2621"/>
      <c r="J84" s="2621"/>
    </row>
    <row r="85" spans="1:15" ht="16.5" customHeight="1">
      <c r="A85" s="4908" t="s">
        <v>7079</v>
      </c>
      <c r="B85" s="4909"/>
      <c r="C85" s="4909"/>
      <c r="D85" s="371"/>
      <c r="E85" s="371"/>
      <c r="F85" s="371"/>
      <c r="G85" s="371"/>
      <c r="H85" s="371"/>
      <c r="I85" s="371"/>
      <c r="J85" s="381"/>
    </row>
    <row r="86" spans="1:15" ht="41.25" customHeight="1">
      <c r="A86" s="4889" t="s">
        <v>7080</v>
      </c>
      <c r="B86" s="4910"/>
      <c r="C86" s="4910"/>
      <c r="D86" s="4910"/>
      <c r="E86" s="4910"/>
      <c r="F86" s="4910"/>
      <c r="G86" s="4910"/>
      <c r="H86" s="4910"/>
      <c r="I86" s="4910"/>
      <c r="J86" s="4910"/>
    </row>
    <row r="87" spans="1:15" ht="6" customHeight="1">
      <c r="A87" s="382"/>
      <c r="B87" s="371"/>
      <c r="C87" s="371"/>
      <c r="D87" s="371"/>
      <c r="E87" s="371"/>
      <c r="F87" s="371"/>
      <c r="G87" s="371"/>
      <c r="H87" s="371"/>
      <c r="I87" s="371"/>
      <c r="J87" s="381"/>
    </row>
    <row r="88" spans="1:15" ht="15">
      <c r="A88" s="2512" t="s">
        <v>7081</v>
      </c>
    </row>
    <row r="89" spans="1:15" ht="124.35" customHeight="1">
      <c r="A89" s="4889" t="s">
        <v>7082</v>
      </c>
      <c r="B89" s="4889"/>
      <c r="C89" s="4889"/>
      <c r="D89" s="4889"/>
      <c r="E89" s="4889"/>
      <c r="F89" s="4889"/>
      <c r="G89" s="4889"/>
      <c r="H89" s="4889"/>
      <c r="I89" s="4889"/>
      <c r="J89" s="4889"/>
      <c r="L89" s="4906" t="s">
        <v>7083</v>
      </c>
      <c r="M89" s="4906"/>
      <c r="N89" s="4906"/>
    </row>
    <row r="90" spans="1:15" ht="6" customHeight="1">
      <c r="A90" s="2621"/>
      <c r="B90" s="2621"/>
      <c r="C90" s="2621"/>
      <c r="D90" s="2621"/>
      <c r="E90" s="2621"/>
      <c r="F90" s="2621"/>
      <c r="G90" s="2621"/>
      <c r="H90" s="2621"/>
      <c r="I90" s="2621"/>
      <c r="J90" s="2621"/>
      <c r="L90" s="2624"/>
      <c r="M90" s="2624"/>
      <c r="N90" s="2624"/>
    </row>
    <row r="91" spans="1:15" ht="17.25" customHeight="1">
      <c r="A91" s="2512" t="s">
        <v>7084</v>
      </c>
    </row>
    <row r="92" spans="1:15" ht="105" customHeight="1">
      <c r="A92" s="4889" t="s">
        <v>7085</v>
      </c>
      <c r="B92" s="4889"/>
      <c r="C92" s="4889"/>
      <c r="D92" s="4889"/>
      <c r="E92" s="4889"/>
      <c r="F92" s="4889"/>
      <c r="G92" s="4889"/>
      <c r="H92" s="4889"/>
      <c r="I92" s="4889"/>
      <c r="J92" s="4889"/>
      <c r="L92" s="4906" t="s">
        <v>7086</v>
      </c>
      <c r="M92" s="4906"/>
      <c r="N92" s="383" t="e">
        <f>'After-Tax Analysis'!G66</f>
        <v>#VALUE!</v>
      </c>
      <c r="O92" s="384" t="s">
        <v>7087</v>
      </c>
    </row>
    <row r="93" spans="1:15" ht="6" customHeight="1">
      <c r="A93" s="2512"/>
    </row>
    <row r="94" spans="1:15" ht="15">
      <c r="A94" s="2512" t="s">
        <v>7088</v>
      </c>
    </row>
    <row r="95" spans="1:15" ht="118.5" customHeight="1">
      <c r="A95" s="4889" t="s">
        <v>7089</v>
      </c>
      <c r="B95" s="4889"/>
      <c r="C95" s="4889"/>
      <c r="D95" s="4889"/>
      <c r="E95" s="4889"/>
      <c r="F95" s="4889"/>
      <c r="G95" s="4889"/>
      <c r="H95" s="4889"/>
      <c r="I95" s="4889"/>
      <c r="J95" s="4889"/>
    </row>
    <row r="96" spans="1:15" ht="20.25" customHeight="1">
      <c r="A96" s="4891" t="s">
        <v>7090</v>
      </c>
      <c r="B96" s="4891"/>
      <c r="C96" s="4891"/>
      <c r="D96" s="4889"/>
      <c r="E96" s="2621"/>
      <c r="F96" s="2621"/>
      <c r="G96" s="2621"/>
      <c r="H96" s="2621"/>
      <c r="I96" s="2621"/>
      <c r="J96" s="2621"/>
    </row>
    <row r="97" spans="1:14" ht="109.5" customHeight="1">
      <c r="A97" s="4901" t="s">
        <v>7091</v>
      </c>
      <c r="B97" s="4902"/>
      <c r="C97" s="4902"/>
      <c r="D97" s="4902"/>
      <c r="E97" s="4902"/>
      <c r="F97" s="4902"/>
      <c r="G97" s="4902"/>
      <c r="H97" s="4902"/>
      <c r="I97" s="4902"/>
      <c r="J97" s="4902"/>
    </row>
    <row r="98" spans="1:14" ht="11.25" customHeight="1">
      <c r="A98" s="2512"/>
    </row>
    <row r="99" spans="1:14" ht="15">
      <c r="A99" s="2512" t="s">
        <v>7092</v>
      </c>
    </row>
    <row r="100" spans="1:14" ht="110.85" customHeight="1">
      <c r="A100" s="4904" t="s">
        <v>7093</v>
      </c>
      <c r="B100" s="4904"/>
      <c r="C100" s="4904"/>
      <c r="D100" s="4904"/>
      <c r="E100" s="4904"/>
      <c r="F100" s="4904"/>
      <c r="G100" s="4904"/>
      <c r="H100" s="4904"/>
      <c r="I100" s="4904"/>
      <c r="J100" s="4904"/>
      <c r="L100" s="701">
        <f>'Part VI-Pro Forma'!K72</f>
        <v>3358703.3582890108</v>
      </c>
      <c r="M100" s="4907" t="s">
        <v>7094</v>
      </c>
      <c r="N100" s="4907"/>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1" t="s">
        <v>7095</v>
      </c>
      <c r="B104" s="4891"/>
      <c r="C104" s="4891"/>
      <c r="D104" s="2621"/>
      <c r="E104" s="2621"/>
      <c r="F104" s="2621"/>
      <c r="G104" s="2621"/>
      <c r="H104" s="2621"/>
      <c r="I104" s="2621"/>
      <c r="J104" s="381"/>
    </row>
    <row r="105" spans="1:14" ht="37.5" customHeight="1">
      <c r="A105" s="4889" t="s">
        <v>7096</v>
      </c>
      <c r="B105" s="4889"/>
      <c r="C105" s="4889"/>
      <c r="D105" s="4889"/>
      <c r="E105" s="4889"/>
      <c r="F105" s="4889"/>
      <c r="G105" s="4889"/>
      <c r="H105" s="4889"/>
      <c r="I105" s="4889"/>
      <c r="J105" s="4889"/>
    </row>
    <row r="106" spans="1:14" ht="6" customHeight="1">
      <c r="A106" s="2512"/>
    </row>
    <row r="107" spans="1:14" ht="15">
      <c r="A107" s="2512" t="s">
        <v>7097</v>
      </c>
    </row>
    <row r="108" spans="1:14" ht="43.5" customHeight="1">
      <c r="A108" s="4889" t="s">
        <v>7098</v>
      </c>
      <c r="B108" s="4889"/>
      <c r="C108" s="4889"/>
      <c r="D108" s="4889"/>
      <c r="E108" s="4889"/>
      <c r="F108" s="4889"/>
      <c r="G108" s="4889"/>
      <c r="H108" s="4889"/>
      <c r="I108" s="4889"/>
      <c r="J108" s="4889"/>
    </row>
    <row r="109" spans="1:14" ht="6" customHeight="1">
      <c r="A109" s="2621"/>
      <c r="B109" s="2621"/>
      <c r="C109" s="2621"/>
      <c r="D109" s="2621"/>
      <c r="E109" s="2621"/>
      <c r="F109" s="2621"/>
      <c r="G109" s="2621"/>
      <c r="H109" s="2621"/>
      <c r="I109" s="2621"/>
      <c r="J109" s="2621"/>
    </row>
    <row r="110" spans="1:14" ht="15">
      <c r="A110" s="2512" t="s">
        <v>7099</v>
      </c>
    </row>
    <row r="112" spans="1:14" ht="18.75" thickBot="1">
      <c r="A112" s="366" t="s">
        <v>7100</v>
      </c>
      <c r="G112" s="994"/>
      <c r="H112" s="366" t="s">
        <v>7101</v>
      </c>
    </row>
    <row r="115" spans="1:10" ht="14.1" customHeight="1" thickBot="1">
      <c r="G115" s="994"/>
      <c r="H115" s="366" t="s">
        <v>7102</v>
      </c>
    </row>
    <row r="116" spans="1:10">
      <c r="A116" s="366" t="s">
        <v>7103</v>
      </c>
    </row>
    <row r="119" spans="1:10" ht="15" thickBot="1">
      <c r="A119" s="385"/>
      <c r="B119" s="385"/>
      <c r="C119" s="385"/>
      <c r="D119" s="385"/>
      <c r="F119" s="385"/>
      <c r="G119" s="385"/>
      <c r="H119" s="385"/>
      <c r="I119" s="385"/>
      <c r="J119" s="385"/>
    </row>
    <row r="120" spans="1:10">
      <c r="A120" s="4899" t="s">
        <v>7104</v>
      </c>
      <c r="B120" s="4899"/>
      <c r="C120" s="4899"/>
      <c r="D120" s="4899"/>
      <c r="E120" s="4900"/>
      <c r="F120" s="992" t="s">
        <v>7105</v>
      </c>
      <c r="G120" s="992"/>
      <c r="H120" s="992"/>
      <c r="I120" s="992"/>
      <c r="J120" s="992"/>
    </row>
    <row r="122" spans="1:10" ht="15" thickBot="1">
      <c r="A122" s="366" t="s">
        <v>7106</v>
      </c>
      <c r="B122" s="385"/>
      <c r="C122" s="385"/>
      <c r="H122" s="366" t="s">
        <v>7106</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 ref="A100:J100"/>
    <mergeCell ref="M100:N100"/>
    <mergeCell ref="A81:J81"/>
    <mergeCell ref="A83:J83"/>
    <mergeCell ref="A85:C85"/>
    <mergeCell ref="A86:J86"/>
    <mergeCell ref="A89:J89"/>
    <mergeCell ref="L89:N89"/>
    <mergeCell ref="A92:J92"/>
    <mergeCell ref="L92:M92"/>
    <mergeCell ref="A95:J95"/>
    <mergeCell ref="A96:D96"/>
    <mergeCell ref="M70:N70"/>
    <mergeCell ref="A73:J73"/>
    <mergeCell ref="A74:J74"/>
    <mergeCell ref="A77:J77"/>
    <mergeCell ref="A44:J44"/>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140625" defaultRowHeight="12.75"/>
  <cols>
    <col min="1" max="1" width="16.85546875" customWidth="1"/>
    <col min="2" max="3" width="26.140625" customWidth="1"/>
    <col min="4" max="4" width="9.42578125" customWidth="1"/>
    <col min="5" max="5" width="25.5703125" customWidth="1"/>
    <col min="6" max="6" width="8.5703125" customWidth="1"/>
    <col min="7" max="7" width="21.85546875" customWidth="1"/>
    <col min="8" max="8" width="6.5703125" customWidth="1"/>
    <col min="9" max="9" width="19.140625" customWidth="1"/>
    <col min="10" max="10" width="6.5703125" customWidth="1"/>
    <col min="11" max="11" width="18.85546875" customWidth="1"/>
    <col min="12" max="12" width="7.5703125" customWidth="1"/>
    <col min="13" max="17" width="10.85546875" customWidth="1"/>
  </cols>
  <sheetData>
    <row r="1" spans="1:14" s="6" customFormat="1" ht="18">
      <c r="A1" s="696" t="s">
        <v>7107</v>
      </c>
      <c r="B1" s="392"/>
      <c r="C1" s="392"/>
      <c r="D1" s="392"/>
      <c r="E1" s="392"/>
      <c r="F1" s="392"/>
      <c r="G1" s="392"/>
      <c r="H1" s="392"/>
      <c r="I1" s="392"/>
      <c r="J1" s="392"/>
      <c r="K1" s="392"/>
      <c r="L1" s="360"/>
      <c r="M1" s="360"/>
    </row>
    <row r="2" spans="1:14" s="6" customFormat="1" ht="18">
      <c r="A2" s="696" t="str">
        <f>+"Financial Analysis for:  "&amp;E8&amp;"  "&amp;C8</f>
        <v>Financial Analysis for:  2026-0xx  Westchester Village II</v>
      </c>
      <c r="B2" s="392"/>
      <c r="C2" s="392"/>
      <c r="D2" s="392"/>
      <c r="E2" s="392"/>
      <c r="F2" s="392"/>
      <c r="G2" s="392"/>
      <c r="H2" s="392"/>
      <c r="I2" s="392"/>
      <c r="J2" s="392"/>
      <c r="K2" s="392"/>
      <c r="L2" s="360"/>
      <c r="M2" s="360"/>
    </row>
    <row r="5" spans="1:14" ht="15.75">
      <c r="A5" s="387"/>
      <c r="B5" s="388"/>
      <c r="C5" s="389"/>
      <c r="D5" s="388"/>
      <c r="E5" s="388"/>
      <c r="F5" s="387"/>
      <c r="G5" s="388"/>
      <c r="H5" s="389"/>
      <c r="I5" s="388"/>
      <c r="J5" s="388"/>
      <c r="K5" s="388"/>
      <c r="L5" s="388"/>
      <c r="M5" s="358"/>
    </row>
    <row r="7" spans="1:14" ht="15.75">
      <c r="A7" s="414" t="s">
        <v>7108</v>
      </c>
      <c r="B7" s="407"/>
      <c r="C7" s="1358"/>
      <c r="D7" s="407"/>
      <c r="E7" s="407"/>
      <c r="F7" s="414" t="s">
        <v>7109</v>
      </c>
      <c r="G7" s="407"/>
      <c r="H7" s="4914"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New Construction</v>
      </c>
      <c r="I7" s="4914"/>
      <c r="J7" s="4914"/>
      <c r="K7" s="4914"/>
      <c r="L7" s="407"/>
      <c r="M7" s="358"/>
    </row>
    <row r="8" spans="1:14" ht="15.75">
      <c r="A8" s="414" t="s">
        <v>7110</v>
      </c>
      <c r="B8" s="414"/>
      <c r="C8" s="4914" t="str">
        <f>'Part I-Project Identification'!$F$27</f>
        <v>Westchester Village II</v>
      </c>
      <c r="D8" s="4914"/>
      <c r="E8" s="2627" t="str">
        <f>'Part I-Project Identification'!$O$7</f>
        <v>2026-0xx</v>
      </c>
      <c r="F8" s="414" t="s">
        <v>7111</v>
      </c>
      <c r="G8" s="407"/>
      <c r="H8" s="4914" t="str">
        <f>CONCATENATE('Part I-Project Identification'!$F$28,", ",'Part I-Project Identification'!$J$28)</f>
        <v>Jonesboro, Clayton</v>
      </c>
      <c r="I8" s="4914"/>
      <c r="J8" s="4914"/>
      <c r="K8" s="4914"/>
      <c r="L8" s="407"/>
      <c r="M8" s="390"/>
    </row>
    <row r="9" spans="1:14" ht="15.75">
      <c r="A9" s="414" t="s">
        <v>7112</v>
      </c>
      <c r="B9" s="414"/>
      <c r="C9" s="4914" t="s">
        <v>720</v>
      </c>
      <c r="D9" s="4914"/>
      <c r="E9" s="407"/>
      <c r="F9" s="414" t="s">
        <v>7113</v>
      </c>
      <c r="G9" s="407"/>
      <c r="H9" s="4923"/>
      <c r="I9" s="4923"/>
      <c r="J9" s="4923"/>
      <c r="K9" s="4923"/>
      <c r="L9" s="4923"/>
      <c r="M9" s="390"/>
    </row>
    <row r="10" spans="1:14" ht="15.75">
      <c r="A10" s="414" t="s">
        <v>7114</v>
      </c>
      <c r="B10" s="407"/>
      <c r="C10" s="4924"/>
      <c r="D10" s="4924"/>
      <c r="E10" s="407"/>
      <c r="F10" s="414" t="s">
        <v>7115</v>
      </c>
      <c r="G10" s="407"/>
      <c r="H10" s="4919"/>
      <c r="I10" s="4919"/>
      <c r="J10" s="4919"/>
      <c r="K10" s="4919"/>
      <c r="L10" s="4919"/>
    </row>
    <row r="11" spans="1:14" ht="15.75">
      <c r="A11" s="414" t="s">
        <v>7116</v>
      </c>
      <c r="B11" s="407"/>
      <c r="C11" s="4918"/>
      <c r="D11" s="4918"/>
      <c r="E11" s="1369"/>
      <c r="F11" s="414" t="s">
        <v>215</v>
      </c>
      <c r="G11" s="407"/>
      <c r="H11" s="4919"/>
      <c r="I11" s="4919"/>
      <c r="J11" s="4919"/>
      <c r="K11" s="4919"/>
      <c r="L11" s="4919"/>
      <c r="M11" s="4920"/>
      <c r="N11" s="4921"/>
    </row>
    <row r="12" spans="1:14" ht="15.75">
      <c r="A12" s="414" t="s">
        <v>7117</v>
      </c>
      <c r="B12" s="407"/>
      <c r="C12" s="4918"/>
      <c r="D12" s="4918"/>
      <c r="E12" s="407"/>
      <c r="F12" s="414" t="s">
        <v>7118</v>
      </c>
      <c r="G12" s="407"/>
      <c r="H12" s="4918"/>
      <c r="I12" s="4918"/>
      <c r="J12" s="4918"/>
      <c r="K12" s="4918"/>
      <c r="L12" s="4918"/>
      <c r="M12" s="358"/>
    </row>
    <row r="13" spans="1:14" ht="15.75">
      <c r="A13" s="414" t="s">
        <v>7119</v>
      </c>
      <c r="B13" s="414"/>
      <c r="C13" s="1359">
        <f>'Part V-Revenues &amp; Expenses'!$P$76</f>
        <v>60</v>
      </c>
      <c r="D13" s="11"/>
      <c r="E13" s="1360">
        <f>'Part V-Revenues &amp; Expenses'!$P$72</f>
        <v>60</v>
      </c>
      <c r="F13" s="414" t="s">
        <v>7120</v>
      </c>
      <c r="G13" s="407"/>
      <c r="H13" s="1368"/>
      <c r="I13" s="1362"/>
      <c r="J13" s="1362"/>
      <c r="K13" s="1361">
        <f>'Part V-Revenues &amp; Expenses'!$K$197</f>
        <v>67216</v>
      </c>
      <c r="L13" s="407"/>
      <c r="M13" s="358"/>
    </row>
    <row r="14" spans="1:14" ht="15.75">
      <c r="A14" s="414" t="s">
        <v>7121</v>
      </c>
      <c r="B14" s="407"/>
      <c r="C14" s="1361" t="str">
        <f>'Part VII-Threshold Criteria OLD'!J35</f>
        <v>&lt;&lt; Select PROPOSED Tenancy &gt;&gt;</v>
      </c>
      <c r="D14" s="4914" t="str">
        <f>IF('Part VII-Threshold Criteria OLD'!$N$35=0,"",'Part VII-Threshold Criteria OLD'!$N$35)</f>
        <v/>
      </c>
      <c r="E14" s="4914"/>
      <c r="F14" s="414" t="s">
        <v>7122</v>
      </c>
      <c r="G14" s="407"/>
      <c r="H14" s="4922" t="s">
        <v>7123</v>
      </c>
      <c r="I14" s="4922"/>
      <c r="J14" s="4922"/>
      <c r="K14" s="4922" t="s">
        <v>7123</v>
      </c>
      <c r="L14" s="4922"/>
      <c r="M14" s="358"/>
    </row>
    <row r="15" spans="1:14" ht="15.75">
      <c r="A15" s="414" t="s">
        <v>7124</v>
      </c>
      <c r="B15" s="407"/>
      <c r="C15" s="1363" t="s">
        <v>720</v>
      </c>
      <c r="D15" s="407"/>
      <c r="E15" s="407"/>
      <c r="F15" s="414" t="s">
        <v>7125</v>
      </c>
      <c r="G15" s="407"/>
      <c r="H15" s="2627" t="str">
        <f>'Part I-Project Identification'!K30</f>
        <v>Urban</v>
      </c>
      <c r="I15" s="407"/>
      <c r="J15" s="407"/>
      <c r="K15" s="407"/>
      <c r="L15" s="407"/>
      <c r="M15" s="358"/>
    </row>
    <row r="16" spans="1:14" ht="15.75">
      <c r="A16" s="414" t="s">
        <v>7126</v>
      </c>
      <c r="B16" s="407"/>
      <c r="C16" s="2627">
        <f>'Part VIII Scoring Criteria OLD'!$P$42</f>
        <v>0</v>
      </c>
      <c r="D16" s="1364" t="s">
        <v>2067</v>
      </c>
      <c r="E16" s="2627">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75">
      <c r="A18" s="414" t="s">
        <v>7127</v>
      </c>
      <c r="B18" s="407"/>
      <c r="C18" s="2628">
        <f>'Part III-A-Uses of Funds'!$G$147</f>
        <v>20514507</v>
      </c>
      <c r="D18" s="1365">
        <f>IF(C18=0,"",$C$29/C18)</f>
        <v>0.20229586799234317</v>
      </c>
      <c r="E18" s="407" t="s">
        <v>7128</v>
      </c>
      <c r="F18" s="414" t="s">
        <v>7129</v>
      </c>
      <c r="G18" s="407"/>
      <c r="H18" s="4913">
        <f>'Part III-A-Uses of Funds'!$C$49</f>
        <v>13794000</v>
      </c>
      <c r="I18" s="4913"/>
      <c r="J18" s="1366">
        <f>IF(H18=0,"",$C$29/H18)</f>
        <v>0.30085544439611428</v>
      </c>
      <c r="K18" s="4914" t="s">
        <v>7130</v>
      </c>
      <c r="L18" s="4914"/>
      <c r="M18" s="358"/>
    </row>
    <row r="19" spans="1:13" ht="15.75">
      <c r="A19" s="414" t="s">
        <v>7131</v>
      </c>
      <c r="B19" s="407"/>
      <c r="C19" s="2629">
        <f>C18/C13</f>
        <v>341908.45</v>
      </c>
      <c r="D19" s="407"/>
      <c r="E19" s="407"/>
      <c r="F19" s="414" t="s">
        <v>7131</v>
      </c>
      <c r="G19" s="407"/>
      <c r="H19" s="4915">
        <f>H18/C13</f>
        <v>229900</v>
      </c>
      <c r="I19" s="4915"/>
      <c r="J19" s="407"/>
      <c r="K19" s="407"/>
      <c r="L19" s="407"/>
      <c r="M19" s="358"/>
    </row>
    <row r="20" spans="1:13" ht="15.75">
      <c r="A20" s="414" t="s">
        <v>7132</v>
      </c>
      <c r="B20" s="407"/>
      <c r="C20" s="2627">
        <f>C18/K13</f>
        <v>305.20273446798382</v>
      </c>
      <c r="D20" s="1367"/>
      <c r="E20" s="1367"/>
      <c r="F20" s="414" t="s">
        <v>7132</v>
      </c>
      <c r="G20" s="407"/>
      <c r="H20" s="4914">
        <f>H18/K13</f>
        <v>205.21899547726733</v>
      </c>
      <c r="I20" s="4915"/>
      <c r="J20" s="407"/>
      <c r="K20" s="407"/>
      <c r="L20" s="407"/>
      <c r="M20" s="358"/>
    </row>
    <row r="21" spans="1:13" ht="15.75">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75">
      <c r="A23" s="392" t="s">
        <v>7133</v>
      </c>
      <c r="B23" s="386"/>
      <c r="C23" s="386"/>
      <c r="D23" s="386"/>
      <c r="E23" s="358"/>
      <c r="F23" s="358"/>
      <c r="G23" s="358"/>
      <c r="H23" s="358"/>
      <c r="I23" s="358"/>
      <c r="J23" s="358"/>
      <c r="K23" s="358"/>
      <c r="L23" s="358"/>
      <c r="M23" s="390"/>
    </row>
    <row r="24" spans="1:13" ht="27" customHeight="1">
      <c r="A24" s="358"/>
      <c r="B24" s="358"/>
      <c r="C24" s="358"/>
      <c r="D24" s="393" t="s">
        <v>7134</v>
      </c>
      <c r="E24" s="358"/>
      <c r="F24" s="358"/>
      <c r="G24" s="358"/>
      <c r="H24" s="358"/>
      <c r="I24" s="358"/>
      <c r="J24" s="358"/>
      <c r="K24" s="358"/>
      <c r="L24" s="358"/>
      <c r="M24" s="390"/>
    </row>
    <row r="25" spans="1:13" ht="15.75">
      <c r="A25" s="360" t="s">
        <v>7135</v>
      </c>
      <c r="B25" s="394" t="str">
        <f>'Part II-Sources of Funds'!E42</f>
        <v>Sterling Bank</v>
      </c>
      <c r="C25" s="395">
        <f>'Part II-Sources of Funds'!I42</f>
        <v>4150000</v>
      </c>
      <c r="D25" s="396" t="s">
        <v>7136</v>
      </c>
      <c r="E25" s="358"/>
      <c r="F25" s="358"/>
      <c r="G25" s="358" t="s">
        <v>7137</v>
      </c>
      <c r="H25" s="358"/>
      <c r="I25" s="358"/>
      <c r="K25" s="395"/>
      <c r="L25" s="358"/>
      <c r="M25" s="390"/>
    </row>
    <row r="26" spans="1:13" ht="15">
      <c r="A26" s="358"/>
      <c r="B26" s="394"/>
      <c r="C26" s="395"/>
      <c r="D26" s="396"/>
      <c r="E26" s="358"/>
      <c r="F26" s="358"/>
      <c r="G26" s="358" t="s">
        <v>7138</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7139</v>
      </c>
      <c r="H28" s="358"/>
      <c r="I28" s="358"/>
      <c r="K28" s="395"/>
      <c r="L28" s="358"/>
      <c r="M28" s="358"/>
    </row>
    <row r="29" spans="1:13" ht="16.5" thickBot="1">
      <c r="A29" s="358"/>
      <c r="B29" s="398" t="s">
        <v>7140</v>
      </c>
      <c r="C29" s="2992">
        <f>SUM(C25:C27)</f>
        <v>4150000</v>
      </c>
      <c r="D29" s="358"/>
      <c r="E29" s="358"/>
      <c r="F29" s="358"/>
      <c r="G29" s="358" t="s">
        <v>7141</v>
      </c>
      <c r="H29" s="358"/>
      <c r="I29" s="358"/>
      <c r="K29" s="397" t="e">
        <f>C29/K28</f>
        <v>#DIV/0!</v>
      </c>
      <c r="L29" s="358"/>
      <c r="M29" s="358"/>
    </row>
    <row r="30" spans="1:13" ht="16.5" thickTop="1">
      <c r="A30" s="360" t="s">
        <v>7142</v>
      </c>
      <c r="B30" s="398"/>
      <c r="C30" s="399">
        <f>'Part II-Sources of Funds'!$I$53+'Part II-Sources of Funds'!$I$54</f>
        <v>16332894</v>
      </c>
      <c r="D30" s="358"/>
      <c r="E30" s="358"/>
      <c r="F30" s="358"/>
      <c r="G30" s="358"/>
      <c r="H30" s="358"/>
      <c r="I30" s="358"/>
      <c r="K30" s="400"/>
      <c r="L30" s="358"/>
      <c r="M30" s="358"/>
    </row>
    <row r="31" spans="1:13" ht="15">
      <c r="A31" s="401" t="s">
        <v>7143</v>
      </c>
      <c r="B31" s="394">
        <f>'Part II-Sources of Funds'!E43</f>
        <v>0</v>
      </c>
      <c r="C31" s="395">
        <f>'Part II-Sources of Funds'!I43</f>
        <v>0</v>
      </c>
      <c r="D31" s="396"/>
      <c r="E31" s="358"/>
      <c r="F31" s="358"/>
      <c r="G31" s="358"/>
      <c r="H31" s="358"/>
      <c r="I31" s="358"/>
      <c r="K31" s="358"/>
      <c r="L31" s="358"/>
      <c r="M31" s="358"/>
    </row>
    <row r="32" spans="1:13" ht="15">
      <c r="A32" s="401" t="s">
        <v>7143</v>
      </c>
      <c r="B32" s="394">
        <f>'Part II-Sources of Funds'!E44</f>
        <v>0</v>
      </c>
      <c r="C32" s="395">
        <f>'Part II-Sources of Funds'!I44</f>
        <v>0</v>
      </c>
      <c r="D32" s="396"/>
      <c r="E32" s="358" t="s">
        <v>7021</v>
      </c>
      <c r="F32" s="358"/>
      <c r="G32" s="358" t="s">
        <v>7144</v>
      </c>
      <c r="H32" s="358"/>
      <c r="I32" s="358"/>
      <c r="K32" s="395"/>
      <c r="L32" s="358"/>
      <c r="M32" s="358"/>
    </row>
    <row r="33" spans="1:13" ht="15">
      <c r="A33" s="401" t="s">
        <v>7143</v>
      </c>
      <c r="B33" s="394">
        <f>'Part II-Sources of Funds'!E45</f>
        <v>0</v>
      </c>
      <c r="C33" s="395">
        <f>'Part II-Sources of Funds'!I45</f>
        <v>0</v>
      </c>
      <c r="D33" s="396"/>
      <c r="E33" s="358"/>
      <c r="F33" s="358"/>
      <c r="G33" s="700" t="s">
        <v>7145</v>
      </c>
      <c r="H33" s="700"/>
      <c r="I33" s="700"/>
      <c r="K33" s="397" t="e">
        <f>$C$29/K32</f>
        <v>#DIV/0!</v>
      </c>
      <c r="L33" s="358"/>
      <c r="M33" s="402"/>
    </row>
    <row r="34" spans="1:13" ht="15.75">
      <c r="A34" s="358"/>
      <c r="B34" s="398" t="s">
        <v>7146</v>
      </c>
      <c r="C34" s="399">
        <f>SUM(C31:C33)</f>
        <v>0</v>
      </c>
      <c r="D34" s="358"/>
      <c r="E34" s="358"/>
      <c r="F34" s="358"/>
      <c r="G34" s="358"/>
      <c r="H34" s="358"/>
      <c r="I34" s="358"/>
      <c r="K34" s="358"/>
      <c r="L34" s="358"/>
      <c r="M34" s="402"/>
    </row>
    <row r="35" spans="1:13" ht="15.75">
      <c r="A35" s="358"/>
      <c r="B35" s="398"/>
      <c r="C35" s="358"/>
      <c r="D35" s="358"/>
      <c r="E35" s="358"/>
      <c r="F35" s="358"/>
      <c r="G35" s="700" t="s">
        <v>7147</v>
      </c>
      <c r="H35" s="700"/>
      <c r="I35" s="700"/>
      <c r="K35" s="397" t="e">
        <f>(C36)/K25</f>
        <v>#DIV/0!</v>
      </c>
      <c r="L35" s="358"/>
      <c r="M35" s="358"/>
    </row>
    <row r="36" spans="1:13" ht="15.75">
      <c r="A36" s="358"/>
      <c r="B36" s="398" t="s">
        <v>7148</v>
      </c>
      <c r="C36" s="399">
        <f>C29+C34</f>
        <v>4150000</v>
      </c>
      <c r="D36" s="358"/>
      <c r="E36" s="358"/>
      <c r="F36" s="358"/>
      <c r="G36" s="358"/>
      <c r="H36" s="358"/>
      <c r="I36" s="358"/>
      <c r="K36" s="358"/>
      <c r="L36" s="358"/>
      <c r="M36" s="358"/>
    </row>
    <row r="37" spans="1:13" ht="15.75">
      <c r="A37" s="358"/>
      <c r="B37" s="398"/>
      <c r="C37" s="400"/>
      <c r="D37" s="358"/>
      <c r="E37" s="358"/>
      <c r="F37" s="358"/>
      <c r="G37" s="700" t="s">
        <v>7149</v>
      </c>
      <c r="H37" s="700"/>
      <c r="I37" s="700"/>
      <c r="K37" s="397" t="e">
        <f>+(C36)/K32</f>
        <v>#DIV/0!</v>
      </c>
      <c r="L37" s="358"/>
      <c r="M37" s="402"/>
    </row>
    <row r="38" spans="1:13" ht="15.75">
      <c r="A38" s="358"/>
      <c r="B38" s="398" t="s">
        <v>7150</v>
      </c>
      <c r="C38" s="403">
        <f>C36/C18</f>
        <v>0.20229586799234317</v>
      </c>
      <c r="D38" s="358"/>
      <c r="E38" s="358"/>
      <c r="F38" s="358"/>
      <c r="G38" s="358"/>
      <c r="H38" s="358"/>
      <c r="I38" s="358"/>
      <c r="K38" s="358"/>
      <c r="L38" s="358"/>
      <c r="M38" s="402"/>
    </row>
    <row r="39" spans="1:13" ht="15.75">
      <c r="A39" s="358"/>
      <c r="B39" s="398"/>
      <c r="C39" s="400"/>
      <c r="D39" s="358"/>
      <c r="E39" s="358"/>
      <c r="F39" s="358"/>
      <c r="G39" s="358"/>
      <c r="H39" s="358"/>
      <c r="I39" s="358"/>
      <c r="K39" s="358"/>
      <c r="L39" s="358"/>
      <c r="M39" s="358"/>
    </row>
    <row r="40" spans="1:13" ht="15.75">
      <c r="A40" s="358"/>
      <c r="B40" s="398" t="s">
        <v>7151</v>
      </c>
      <c r="C40" s="403">
        <f>C36/H18</f>
        <v>0.30085544439611428</v>
      </c>
      <c r="D40" s="358"/>
      <c r="E40" s="358"/>
      <c r="F40" s="360"/>
      <c r="G40" s="360" t="s">
        <v>7152</v>
      </c>
      <c r="H40" s="358"/>
      <c r="I40" s="358"/>
      <c r="K40" s="397">
        <f>C30/C18</f>
        <v>0.79616312495347807</v>
      </c>
      <c r="L40" s="358"/>
      <c r="M40" s="358"/>
    </row>
    <row r="46" spans="1:13" ht="15.75">
      <c r="A46" s="392" t="s">
        <v>7153</v>
      </c>
      <c r="B46" s="386"/>
      <c r="C46" s="386"/>
      <c r="D46" s="386"/>
      <c r="E46" s="386"/>
      <c r="F46" s="386"/>
      <c r="G46" s="386"/>
      <c r="H46" s="386"/>
      <c r="I46" s="386"/>
      <c r="J46" s="386"/>
      <c r="K46" s="386"/>
      <c r="L46" s="386"/>
      <c r="M46" s="358"/>
    </row>
    <row r="47" spans="1:13" ht="15.75">
      <c r="A47" s="392" t="str">
        <f>C8</f>
        <v>Westchester Village II</v>
      </c>
      <c r="B47" s="386"/>
      <c r="C47" s="386"/>
      <c r="D47" s="386"/>
      <c r="E47" s="386"/>
      <c r="F47" s="386"/>
      <c r="G47" s="386"/>
      <c r="H47" s="386"/>
      <c r="I47" s="386"/>
      <c r="J47" s="386"/>
      <c r="K47" s="386"/>
      <c r="L47" s="386"/>
      <c r="M47" s="358"/>
    </row>
    <row r="50" spans="1:14" s="358" customFormat="1" ht="15.75">
      <c r="A50" s="360" t="s">
        <v>7154</v>
      </c>
      <c r="C50" s="402" t="s">
        <v>7155</v>
      </c>
      <c r="E50" s="404" t="s">
        <v>7156</v>
      </c>
      <c r="F50" s="405">
        <v>0.1</v>
      </c>
      <c r="G50" s="404" t="s">
        <v>7157</v>
      </c>
      <c r="H50" s="405">
        <v>0.05</v>
      </c>
      <c r="I50" s="404" t="s">
        <v>7158</v>
      </c>
      <c r="J50" s="405">
        <v>0.03</v>
      </c>
      <c r="K50" s="4916" t="s">
        <v>7159</v>
      </c>
      <c r="L50" s="4917"/>
      <c r="M50"/>
      <c r="N50"/>
    </row>
    <row r="51" spans="1:14" s="358" customFormat="1" ht="15.75">
      <c r="A51" s="360"/>
      <c r="C51" s="402"/>
      <c r="E51" s="402"/>
      <c r="F51" s="406"/>
      <c r="G51" s="402"/>
      <c r="H51" s="406"/>
      <c r="I51" s="402"/>
      <c r="J51" s="406"/>
      <c r="K51" s="402"/>
      <c r="M51"/>
      <c r="N51"/>
    </row>
    <row r="52" spans="1:14" s="358" customFormat="1" ht="18.75" customHeight="1">
      <c r="B52" s="407" t="s">
        <v>7160</v>
      </c>
      <c r="C52" s="408">
        <f>'Part VI-Pro Forma'!B15</f>
        <v>806664</v>
      </c>
      <c r="D52" s="408"/>
      <c r="E52" s="408">
        <f>$C$52</f>
        <v>806664</v>
      </c>
      <c r="F52" s="408"/>
      <c r="G52" s="408">
        <f>$C$52</f>
        <v>806664</v>
      </c>
      <c r="H52" s="408"/>
      <c r="I52" s="408">
        <f>$C$52</f>
        <v>806664</v>
      </c>
      <c r="J52" s="408"/>
      <c r="K52" s="408">
        <f>$C$52</f>
        <v>806664</v>
      </c>
      <c r="L52" s="409"/>
      <c r="M52"/>
      <c r="N52"/>
    </row>
    <row r="53" spans="1:14" s="358" customFormat="1" ht="18.75" customHeight="1">
      <c r="B53" s="407" t="s">
        <v>7161</v>
      </c>
      <c r="C53" s="408">
        <f>'Part VI-Pro Forma'!B16</f>
        <v>16133.28</v>
      </c>
      <c r="D53" s="408"/>
      <c r="E53" s="408">
        <f>$C$53</f>
        <v>16133.28</v>
      </c>
      <c r="F53" s="408"/>
      <c r="G53" s="408">
        <f>$C$53</f>
        <v>16133.28</v>
      </c>
      <c r="H53" s="408"/>
      <c r="I53" s="408">
        <f>$C$53</f>
        <v>16133.28</v>
      </c>
      <c r="J53" s="408"/>
      <c r="K53" s="408">
        <f>$C$53</f>
        <v>16133.28</v>
      </c>
      <c r="L53" s="409"/>
      <c r="M53"/>
      <c r="N53"/>
    </row>
    <row r="54" spans="1:14" s="358" customFormat="1" ht="18.75" customHeight="1">
      <c r="B54" s="407" t="s">
        <v>7162</v>
      </c>
      <c r="C54" s="408">
        <f>'Part VI-Pro Forma'!B17</f>
        <v>-57595.809600000008</v>
      </c>
      <c r="D54" s="408"/>
      <c r="E54" s="408">
        <f>-($C$52+E53)*F50</f>
        <v>-82279.728000000003</v>
      </c>
      <c r="F54" s="410"/>
      <c r="G54" s="408">
        <f>-($C$52+G53)*0.07</f>
        <v>-57595.809600000008</v>
      </c>
      <c r="H54" s="408"/>
      <c r="I54" s="408">
        <f>-($C$52+I53)*0.07</f>
        <v>-57595.809600000008</v>
      </c>
      <c r="J54" s="408"/>
      <c r="K54" s="408">
        <f>-($C$52+K53)*L54</f>
        <v>-82279.728000000003</v>
      </c>
      <c r="L54" s="411">
        <v>0.1</v>
      </c>
      <c r="M54"/>
      <c r="N54"/>
    </row>
    <row r="55" spans="1:14" s="358" customFormat="1" ht="18.75" customHeight="1">
      <c r="B55" s="407" t="s">
        <v>7163</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7164</v>
      </c>
      <c r="C56" s="2994">
        <f>SUM(C52:C55)</f>
        <v>765201.47039999999</v>
      </c>
      <c r="D56" s="408"/>
      <c r="E56" s="2994">
        <f>SUM(E52:E55)</f>
        <v>740517.55200000003</v>
      </c>
      <c r="F56" s="408"/>
      <c r="G56" s="2994">
        <f>SUM(G52:G55)</f>
        <v>765201.47039999999</v>
      </c>
      <c r="H56" s="408"/>
      <c r="I56" s="2994">
        <f>SUM(I52:I55)</f>
        <v>765201.47039999999</v>
      </c>
      <c r="J56" s="408"/>
      <c r="K56" s="2994">
        <f>SUM(K52:K55)</f>
        <v>740517.55200000003</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7165</v>
      </c>
      <c r="C58" s="408">
        <f>+'Part V-Revenues &amp; Expenses'!F249+'Part V-Revenues &amp; Expenses'!F258+'Part V-Revenues &amp; Expenses'!L245+'Part V-Revenues &amp; Expenses'!L253</f>
        <v>121900</v>
      </c>
      <c r="D58" s="408"/>
      <c r="E58" s="408">
        <f>$C$58</f>
        <v>121900</v>
      </c>
      <c r="F58" s="408"/>
      <c r="G58" s="408">
        <f>$C$58</f>
        <v>121900</v>
      </c>
      <c r="H58" s="408"/>
      <c r="I58" s="408">
        <f>$C$58</f>
        <v>121900</v>
      </c>
      <c r="J58" s="408"/>
      <c r="K58" s="408">
        <f>$C$58</f>
        <v>121900</v>
      </c>
      <c r="L58" s="409"/>
      <c r="M58"/>
      <c r="N58"/>
    </row>
    <row r="59" spans="1:14" s="358" customFormat="1" ht="18.75" customHeight="1">
      <c r="B59" s="407" t="s">
        <v>7166</v>
      </c>
      <c r="C59" s="408">
        <f>+'Part V-Revenues &amp; Expenses'!F269</f>
        <v>43000</v>
      </c>
      <c r="D59" s="408"/>
      <c r="E59" s="408">
        <f>$C$59</f>
        <v>43000</v>
      </c>
      <c r="F59" s="408"/>
      <c r="G59" s="408">
        <f>$C$59</f>
        <v>43000</v>
      </c>
      <c r="H59" s="408"/>
      <c r="I59" s="408">
        <f>$C$59</f>
        <v>43000</v>
      </c>
      <c r="J59" s="408"/>
      <c r="K59" s="408">
        <f>$C$59*(1+$L$59)</f>
        <v>44720</v>
      </c>
      <c r="L59" s="413">
        <v>0.04</v>
      </c>
      <c r="M59"/>
      <c r="N59"/>
    </row>
    <row r="60" spans="1:14" s="358" customFormat="1" ht="18.75" customHeight="1">
      <c r="B60" s="407" t="s">
        <v>1321</v>
      </c>
      <c r="C60" s="408">
        <f>+'Part V-Revenues &amp; Expenses'!L263</f>
        <v>29500</v>
      </c>
      <c r="D60" s="408"/>
      <c r="E60" s="408">
        <f>$C$60</f>
        <v>29500</v>
      </c>
      <c r="F60" s="408"/>
      <c r="G60" s="408">
        <f>$C$60</f>
        <v>29500</v>
      </c>
      <c r="H60" s="408"/>
      <c r="I60" s="408">
        <f>$C$60*(1+$J$50)</f>
        <v>30385</v>
      </c>
      <c r="J60" s="410"/>
      <c r="K60" s="408">
        <f>$C$60*(1+$J$50)</f>
        <v>30385</v>
      </c>
      <c r="L60" s="411">
        <v>0.03</v>
      </c>
      <c r="M60"/>
      <c r="N60"/>
    </row>
    <row r="61" spans="1:14" s="358" customFormat="1" ht="18.75" customHeight="1">
      <c r="B61" s="407" t="s">
        <v>7167</v>
      </c>
      <c r="C61" s="408">
        <f>+'Part V-Revenues &amp; Expenses'!L266</f>
        <v>88600</v>
      </c>
      <c r="D61" s="408"/>
      <c r="E61" s="408">
        <f>$C$61</f>
        <v>88600</v>
      </c>
      <c r="F61" s="408"/>
      <c r="G61" s="408">
        <f>$C$61*(1+H50)</f>
        <v>93030</v>
      </c>
      <c r="H61" s="410"/>
      <c r="I61" s="408">
        <f>$C$61</f>
        <v>88600</v>
      </c>
      <c r="J61" s="408"/>
      <c r="K61" s="408">
        <f>$C$61*(1+$L$61)</f>
        <v>93030</v>
      </c>
      <c r="L61" s="411">
        <v>0.05</v>
      </c>
      <c r="M61"/>
      <c r="N61"/>
    </row>
    <row r="62" spans="1:14" s="358" customFormat="1" ht="18.75" customHeight="1">
      <c r="B62" s="407" t="s">
        <v>7168</v>
      </c>
      <c r="C62" s="408">
        <f>+'Part V-Revenues &amp; Expenses'!L267</f>
        <v>39000</v>
      </c>
      <c r="D62" s="408"/>
      <c r="E62" s="408">
        <f>$C$61</f>
        <v>88600</v>
      </c>
      <c r="F62" s="408"/>
      <c r="G62" s="408">
        <f>$C$61*(1+H51)</f>
        <v>88600</v>
      </c>
      <c r="H62" s="410"/>
      <c r="I62" s="408">
        <f>$C$61</f>
        <v>88600</v>
      </c>
      <c r="J62" s="408"/>
      <c r="K62" s="408">
        <f>$C$61*(1+$L$61)</f>
        <v>93030</v>
      </c>
      <c r="L62" s="411">
        <v>0.05</v>
      </c>
      <c r="M62"/>
      <c r="N62"/>
    </row>
    <row r="63" spans="1:14" s="358" customFormat="1" ht="18.75" customHeight="1">
      <c r="B63" s="2993" t="s">
        <v>7169</v>
      </c>
      <c r="C63" s="2994">
        <f>SUM(C58:C61)</f>
        <v>283000</v>
      </c>
      <c r="D63" s="408"/>
      <c r="E63" s="2994">
        <f>SUM(E58:E61)</f>
        <v>283000</v>
      </c>
      <c r="F63" s="408"/>
      <c r="G63" s="2994">
        <f>SUM(G58:G61)</f>
        <v>287430</v>
      </c>
      <c r="H63" s="408"/>
      <c r="I63" s="2994">
        <f>SUM(I58:I61)</f>
        <v>283885</v>
      </c>
      <c r="J63" s="408"/>
      <c r="K63" s="2994">
        <f>SUM(K58:K61)</f>
        <v>290035</v>
      </c>
      <c r="L63" s="407"/>
      <c r="M63"/>
      <c r="N63"/>
    </row>
    <row r="64" spans="1:14" s="358" customFormat="1" ht="24" customHeight="1">
      <c r="B64" s="407"/>
      <c r="C64" s="408"/>
      <c r="D64" s="408"/>
      <c r="E64" s="408"/>
      <c r="F64" s="408"/>
      <c r="G64" s="408"/>
      <c r="H64" s="408"/>
      <c r="I64" s="408"/>
      <c r="J64" s="408"/>
      <c r="K64" s="408"/>
      <c r="L64" s="407"/>
      <c r="M64"/>
      <c r="N64"/>
    </row>
    <row r="65" spans="1:14" s="358" customFormat="1" ht="15.75">
      <c r="A65"/>
      <c r="B65" s="414" t="s">
        <v>7170</v>
      </c>
      <c r="C65" s="415">
        <f>C56-C63</f>
        <v>482201.47039999999</v>
      </c>
      <c r="D65" s="415"/>
      <c r="E65" s="415">
        <f>E56-E63</f>
        <v>457517.55200000003</v>
      </c>
      <c r="F65" s="415"/>
      <c r="G65" s="415">
        <f>G56-G63</f>
        <v>477771.47039999999</v>
      </c>
      <c r="H65" s="415"/>
      <c r="I65" s="415">
        <f>I56-I63</f>
        <v>481316.47039999999</v>
      </c>
      <c r="J65" s="415"/>
      <c r="K65" s="415">
        <f>K56-K63</f>
        <v>450482.55200000003</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7171</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7172</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75">
      <c r="A71"/>
      <c r="B71" s="2995" t="s">
        <v>7173</v>
      </c>
      <c r="C71" s="2996">
        <f>C65-C67-C69</f>
        <v>482201.47039999999</v>
      </c>
      <c r="D71" s="415"/>
      <c r="E71" s="2996">
        <f>E65-E67-E69</f>
        <v>457517.55200000003</v>
      </c>
      <c r="F71" s="415"/>
      <c r="G71" s="2996">
        <f>G65-G67-G69</f>
        <v>477771.47039999999</v>
      </c>
      <c r="H71" s="415"/>
      <c r="I71" s="2996">
        <f>I65-I67-I69</f>
        <v>481316.47039999999</v>
      </c>
      <c r="J71" s="415"/>
      <c r="K71" s="2996">
        <f>K65-K67-K69</f>
        <v>450482.55200000003</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7174</v>
      </c>
      <c r="C73" s="724">
        <f>-C71/C76</f>
        <v>1.5137072805696046</v>
      </c>
      <c r="D73" s="417"/>
      <c r="E73" s="724">
        <f>-E71/E76</f>
        <v>1.4362205259894676</v>
      </c>
      <c r="F73" s="417"/>
      <c r="G73" s="724">
        <f>-G71/G76</f>
        <v>1.4998008044085909</v>
      </c>
      <c r="H73" s="417"/>
      <c r="I73" s="724">
        <f>-I71/I76</f>
        <v>1.5109291244968062</v>
      </c>
      <c r="J73" s="417"/>
      <c r="K73" s="724">
        <f>-K71/K76</f>
        <v>1.4141365395802732</v>
      </c>
      <c r="L73" s="3"/>
      <c r="M73" s="6"/>
      <c r="N73" s="6"/>
    </row>
    <row r="74" spans="1:14" s="358" customFormat="1" ht="18.75" customHeight="1">
      <c r="A74"/>
      <c r="B74" s="407" t="s">
        <v>7175</v>
      </c>
      <c r="C74" s="725">
        <f>C77/C63</f>
        <v>0.57825036543293962</v>
      </c>
      <c r="D74" s="418"/>
      <c r="E74" s="725">
        <f>E77/E63</f>
        <v>0.49102803893117297</v>
      </c>
      <c r="F74" s="418"/>
      <c r="G74" s="725">
        <f>G77/G63</f>
        <v>0.55392566335289262</v>
      </c>
      <c r="H74" s="418"/>
      <c r="I74" s="725">
        <f>I77/I63</f>
        <v>0.5733302337831232</v>
      </c>
      <c r="J74" s="418"/>
      <c r="K74" s="725">
        <f>K77/K63</f>
        <v>0.45486212014936805</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7176</v>
      </c>
      <c r="C76" s="408">
        <f>+SUM('Part VI-Pro Forma'!B26:B29)</f>
        <v>-318556.61698247807</v>
      </c>
      <c r="D76" s="408"/>
      <c r="E76" s="408">
        <f>$C$76</f>
        <v>-318556.61698247807</v>
      </c>
      <c r="F76" s="408"/>
      <c r="G76" s="408">
        <f>$C$76</f>
        <v>-318556.61698247807</v>
      </c>
      <c r="H76" s="408"/>
      <c r="I76" s="408">
        <f>$C$76</f>
        <v>-318556.61698247807</v>
      </c>
      <c r="J76" s="408"/>
      <c r="K76" s="408">
        <f>$C$76</f>
        <v>-318556.61698247807</v>
      </c>
      <c r="L76" s="11"/>
      <c r="M76"/>
      <c r="N76"/>
    </row>
    <row r="77" spans="1:14" s="358" customFormat="1" ht="18.75" customHeight="1">
      <c r="A77"/>
      <c r="B77" s="407" t="s">
        <v>1413</v>
      </c>
      <c r="C77" s="408">
        <f>C71+C76</f>
        <v>163644.85341752192</v>
      </c>
      <c r="D77" s="408"/>
      <c r="E77" s="408">
        <f>E71+E76</f>
        <v>138960.93501752196</v>
      </c>
      <c r="F77" s="408"/>
      <c r="G77" s="408">
        <f>G71+G76</f>
        <v>159214.85341752192</v>
      </c>
      <c r="H77" s="408"/>
      <c r="I77" s="408">
        <f>I71+I76</f>
        <v>162759.85341752192</v>
      </c>
      <c r="J77" s="408"/>
      <c r="K77" s="408">
        <f>K71+K76</f>
        <v>131925.93501752196</v>
      </c>
      <c r="L77" s="11"/>
      <c r="M77"/>
      <c r="N77"/>
    </row>
    <row r="78" spans="1:14" s="358" customFormat="1" ht="15" hidden="1">
      <c r="A78"/>
      <c r="B78" s="407" t="s">
        <v>7177</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 hidden="1">
      <c r="A79"/>
      <c r="B79" s="420" t="s">
        <v>7178</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75" hidden="1" thickBot="1">
      <c r="A81"/>
      <c r="B81" s="407" t="s">
        <v>4647</v>
      </c>
      <c r="C81" s="419" t="e">
        <f>MIN(C78,E78,G78,I78,K78)</f>
        <v>#NAME?</v>
      </c>
      <c r="D81" s="407"/>
      <c r="E81" s="407" t="s">
        <v>7179</v>
      </c>
      <c r="F81" s="421">
        <v>0.06</v>
      </c>
      <c r="G81" s="11"/>
      <c r="H81" s="11"/>
      <c r="I81" s="11"/>
      <c r="J81" s="11"/>
      <c r="K81" s="11"/>
      <c r="L81" s="11"/>
      <c r="M81"/>
      <c r="N81"/>
    </row>
    <row r="82" spans="1:14" s="358" customFormat="1" ht="15" hidden="1">
      <c r="A82"/>
      <c r="B82" s="407" t="s">
        <v>4648</v>
      </c>
      <c r="C82" s="419" t="e">
        <f>MAX(C78,E78,G78,I78,K78)</f>
        <v>#NAME?</v>
      </c>
      <c r="D82" s="407"/>
      <c r="E82" s="407"/>
      <c r="F82" s="407"/>
      <c r="G82" s="11"/>
      <c r="H82" s="11"/>
      <c r="I82" s="11"/>
      <c r="J82" s="11"/>
      <c r="K82" s="11"/>
      <c r="L82" s="11"/>
      <c r="M82"/>
      <c r="N82"/>
    </row>
    <row r="83" spans="1:14" s="358" customFormat="1" ht="15">
      <c r="A83"/>
      <c r="B83" s="407"/>
      <c r="C83" s="407"/>
      <c r="D83" s="407"/>
      <c r="E83" s="407" t="s">
        <v>7021</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0:J10"/>
    <mergeCell ref="K10:L10"/>
    <mergeCell ref="H7:K7"/>
    <mergeCell ref="C8:D8"/>
    <mergeCell ref="H8:K8"/>
    <mergeCell ref="C9:D9"/>
    <mergeCell ref="H9:L9"/>
    <mergeCell ref="C10:D10"/>
    <mergeCell ref="H12:L12"/>
    <mergeCell ref="H11:J11"/>
    <mergeCell ref="K11:L11"/>
    <mergeCell ref="M11:N11"/>
    <mergeCell ref="D14:E14"/>
    <mergeCell ref="H14:J14"/>
    <mergeCell ref="K14:L14"/>
    <mergeCell ref="C12:D12"/>
    <mergeCell ref="C11:D11"/>
    <mergeCell ref="H18:I18"/>
    <mergeCell ref="K18:L18"/>
    <mergeCell ref="H19:I19"/>
    <mergeCell ref="H20:I20"/>
    <mergeCell ref="K50:L5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140625" defaultRowHeight="12.75"/>
  <cols>
    <col min="1" max="1" width="24.85546875" style="683" customWidth="1"/>
    <col min="2" max="2" width="13.85546875" style="683" customWidth="1"/>
    <col min="3" max="11" width="10.5703125" style="683" customWidth="1"/>
    <col min="12" max="12" width="9.85546875" style="683" customWidth="1"/>
    <col min="13" max="21" width="10.5703125" style="683" customWidth="1"/>
    <col min="22" max="16384" width="9.140625" style="683"/>
  </cols>
  <sheetData>
    <row r="1" spans="1:7" ht="3" customHeight="1"/>
    <row r="2" spans="1:7">
      <c r="A2" s="682" t="s">
        <v>7180</v>
      </c>
    </row>
    <row r="3" spans="1:7" ht="3" customHeight="1"/>
    <row r="4" spans="1:7">
      <c r="A4" s="683" t="s">
        <v>7181</v>
      </c>
      <c r="B4" s="684">
        <f>'Part III-A-Uses of Funds'!G147</f>
        <v>20514507</v>
      </c>
    </row>
    <row r="5" spans="1:7">
      <c r="A5" s="683" t="s">
        <v>7182</v>
      </c>
      <c r="B5" s="684">
        <f>+B18+B26+B38</f>
        <v>3185959.342143035</v>
      </c>
    </row>
    <row r="6" spans="1:7">
      <c r="A6" s="683" t="s">
        <v>7183</v>
      </c>
      <c r="B6" s="685">
        <f>+B5-B4</f>
        <v>-17328547.657856964</v>
      </c>
    </row>
    <row r="7" spans="1:7">
      <c r="A7" s="683" t="s">
        <v>7184</v>
      </c>
      <c r="B7" s="686">
        <f>+B6/B4</f>
        <v>-0.84469725048020716</v>
      </c>
    </row>
    <row r="8" spans="1:7" ht="9" customHeight="1"/>
    <row r="9" spans="1:7">
      <c r="A9" s="683" t="s">
        <v>7185</v>
      </c>
      <c r="B9" s="684">
        <f>+B18+B26+B33</f>
        <v>3185849.342143035</v>
      </c>
    </row>
    <row r="10" spans="1:7">
      <c r="A10" s="683" t="s">
        <v>7183</v>
      </c>
      <c r="B10" s="685">
        <f>+B9-B4</f>
        <v>-17328657.657856964</v>
      </c>
    </row>
    <row r="11" spans="1:7">
      <c r="A11" s="683" t="s">
        <v>7184</v>
      </c>
      <c r="B11" s="686">
        <f>+B10/B4</f>
        <v>-0.84470261253935874</v>
      </c>
    </row>
    <row r="12" spans="1:7" ht="24" customHeight="1"/>
    <row r="13" spans="1:7">
      <c r="A13" s="682" t="s">
        <v>7186</v>
      </c>
      <c r="D13" s="730" t="s">
        <v>7187</v>
      </c>
      <c r="E13" s="731"/>
    </row>
    <row r="14" spans="1:7">
      <c r="A14" s="683" t="s">
        <v>7188</v>
      </c>
      <c r="B14" s="687">
        <f>+SUM('Part II-Sources of Funds'!L53:M54)</f>
        <v>16335000</v>
      </c>
      <c r="D14" s="731"/>
      <c r="E14" s="731"/>
    </row>
    <row r="15" spans="1:7">
      <c r="A15" s="683" t="s">
        <v>7189</v>
      </c>
      <c r="B15" s="688">
        <f>+'Part III-A-Uses of Funds'!J181</f>
        <v>1636439.7</v>
      </c>
      <c r="D15" s="731" t="s">
        <v>724</v>
      </c>
      <c r="G15" s="732">
        <f>'Part III-A-Uses of Funds'!J169</f>
        <v>18862292</v>
      </c>
    </row>
    <row r="16" spans="1:7" ht="12.75" customHeight="1">
      <c r="D16" s="731" t="s">
        <v>7190</v>
      </c>
      <c r="G16" s="736">
        <v>3.2800000000000003E-2</v>
      </c>
    </row>
    <row r="17" spans="1:7" ht="12.75" customHeight="1">
      <c r="A17" s="683" t="s">
        <v>7191</v>
      </c>
      <c r="B17" s="735">
        <v>1.45</v>
      </c>
      <c r="D17" s="731" t="s">
        <v>7192</v>
      </c>
      <c r="G17" s="737">
        <v>1.45</v>
      </c>
    </row>
    <row r="18" spans="1:7" ht="12.75" customHeight="1">
      <c r="A18" s="683" t="s">
        <v>7193</v>
      </c>
      <c r="B18" s="689">
        <f>+'Part III-A-Uses of Funds'!J191*B17*10</f>
        <v>0</v>
      </c>
      <c r="D18" s="731" t="s">
        <v>7194</v>
      </c>
      <c r="G18" s="737">
        <v>3.28</v>
      </c>
    </row>
    <row r="19" spans="1:7" ht="12.75" customHeight="1">
      <c r="D19" s="731" t="s">
        <v>7195</v>
      </c>
      <c r="G19" s="733">
        <f>+G15*G16*G17*10</f>
        <v>8970906.0752000008</v>
      </c>
    </row>
    <row r="20" spans="1:7">
      <c r="A20" s="683" t="s">
        <v>7196</v>
      </c>
      <c r="B20" s="687">
        <f>+B18-B14</f>
        <v>-16335000</v>
      </c>
      <c r="D20" s="731" t="s">
        <v>7197</v>
      </c>
      <c r="G20" s="734">
        <f>+B14-G19</f>
        <v>7364093.9247999992</v>
      </c>
    </row>
    <row r="21" spans="1:7">
      <c r="A21" s="683" t="s">
        <v>7198</v>
      </c>
      <c r="B21" s="686">
        <f>+B20/B14</f>
        <v>-1</v>
      </c>
      <c r="D21" s="731" t="s">
        <v>7199</v>
      </c>
      <c r="G21" s="731" t="str">
        <f>+IF(G20&gt;(B28+B35),"No","Yes")</f>
        <v>No</v>
      </c>
    </row>
    <row r="22" spans="1:7" ht="24" customHeight="1"/>
    <row r="23" spans="1:7">
      <c r="A23" s="682" t="s">
        <v>7200</v>
      </c>
    </row>
    <row r="24" spans="1:7">
      <c r="A24" s="683" t="s">
        <v>7201</v>
      </c>
      <c r="B24" s="690">
        <f>+SUM('Part II-Sources of Funds'!I42:J45)</f>
        <v>4150000</v>
      </c>
    </row>
    <row r="25" spans="1:7">
      <c r="A25" s="683" t="s">
        <v>7202</v>
      </c>
      <c r="B25" s="691">
        <f>IF('Part II-Sources of Funds'!E6="Yes","N/A",MAX(B46:P46))</f>
        <v>-3894.6083508552983</v>
      </c>
    </row>
    <row r="26" spans="1:7">
      <c r="A26" s="683" t="s">
        <v>7203</v>
      </c>
      <c r="B26" s="681">
        <f>IFERROR(PV('Part II-Sources of Funds'!K42,'Part II-Sources of Funds'!L42,B25+B45),B24)</f>
        <v>3185849.342143035</v>
      </c>
    </row>
    <row r="27" spans="1:7" ht="9" customHeight="1">
      <c r="B27" s="681"/>
    </row>
    <row r="28" spans="1:7">
      <c r="A28" s="683" t="s">
        <v>7204</v>
      </c>
      <c r="B28" s="692">
        <f>+B26-B24</f>
        <v>-964150.65785696497</v>
      </c>
      <c r="C28" s="693"/>
    </row>
    <row r="29" spans="1:7">
      <c r="A29" s="683" t="s">
        <v>7198</v>
      </c>
      <c r="B29" s="694">
        <f>+B28/B24</f>
        <v>-0.23232545972456986</v>
      </c>
    </row>
    <row r="30" spans="1:7" ht="24" customHeight="1"/>
    <row r="31" spans="1:7">
      <c r="A31" s="682" t="s">
        <v>1412</v>
      </c>
    </row>
    <row r="32" spans="1:7">
      <c r="A32" s="683" t="s">
        <v>7205</v>
      </c>
      <c r="B32" s="695">
        <f>+'Part II-Sources of Funds'!I47</f>
        <v>31503</v>
      </c>
    </row>
    <row r="33" spans="1:11">
      <c r="A33" s="683" t="s">
        <v>7206</v>
      </c>
      <c r="B33" s="681"/>
    </row>
    <row r="34" spans="1:11" ht="9" customHeight="1">
      <c r="B34" s="681"/>
    </row>
    <row r="35" spans="1:11">
      <c r="A35" s="683" t="s">
        <v>7207</v>
      </c>
      <c r="B35" s="695">
        <f>+B33-B32</f>
        <v>-31503</v>
      </c>
    </row>
    <row r="36" spans="1:11">
      <c r="A36" s="683" t="s">
        <v>7208</v>
      </c>
      <c r="B36" s="680">
        <f>+B35/B32</f>
        <v>-1</v>
      </c>
    </row>
    <row r="37" spans="1:11" ht="24" customHeight="1">
      <c r="B37" s="681"/>
    </row>
    <row r="38" spans="1:11">
      <c r="A38" s="682" t="s">
        <v>7209</v>
      </c>
      <c r="B38" s="681">
        <f>+SUM('Part II-Sources of Funds'!I46,'Part II-Sources of Funds'!I51,'Part II-Sources of Funds'!I52,'Part II-Sources of Funds'!I55:I61)</f>
        <v>110</v>
      </c>
    </row>
    <row r="39" spans="1:11">
      <c r="B39" s="681"/>
    </row>
    <row r="40" spans="1:11">
      <c r="B40" s="681"/>
    </row>
    <row r="41" spans="1:11">
      <c r="B41" s="681"/>
    </row>
    <row r="42" spans="1:11">
      <c r="A42" s="682" t="s">
        <v>7210</v>
      </c>
      <c r="B42" s="681"/>
    </row>
    <row r="43" spans="1:11">
      <c r="A43" s="683" t="s">
        <v>479</v>
      </c>
      <c r="B43" s="738">
        <v>1</v>
      </c>
      <c r="C43" s="738">
        <v>2</v>
      </c>
      <c r="D43" s="738">
        <v>3</v>
      </c>
      <c r="E43" s="738">
        <v>4</v>
      </c>
      <c r="F43" s="738">
        <v>5</v>
      </c>
      <c r="G43" s="738">
        <v>6</v>
      </c>
      <c r="H43" s="738">
        <v>7</v>
      </c>
      <c r="I43" s="738">
        <v>8</v>
      </c>
      <c r="J43" s="738">
        <v>9</v>
      </c>
      <c r="K43" s="738">
        <v>10</v>
      </c>
    </row>
    <row r="44" spans="1:11">
      <c r="A44" s="683" t="s">
        <v>1408</v>
      </c>
      <c r="B44" s="684">
        <f>+'Part VI-Pro Forma'!B25</f>
        <v>386941.47039999999</v>
      </c>
      <c r="C44" s="684">
        <f>+'Part VI-Pro Forma'!C25</f>
        <v>391280.49980800005</v>
      </c>
      <c r="D44" s="684">
        <f>+'Part VI-Pro Forma'!D25</f>
        <v>395603.60980415996</v>
      </c>
      <c r="E44" s="684">
        <f>+'Part VI-Pro Forma'!E25</f>
        <v>399908.7420002431</v>
      </c>
      <c r="F44" s="684">
        <f>+'Part VI-Pro Forma'!F25</f>
        <v>404191.68504024803</v>
      </c>
      <c r="G44" s="684">
        <f>+'Part VI-Pro Forma'!G25</f>
        <v>408449.06878705299</v>
      </c>
      <c r="H44" s="684">
        <f>+'Part VI-Pro Forma'!H25</f>
        <v>412676.35831017414</v>
      </c>
      <c r="I44" s="684">
        <f>+'Part VI-Pro Forma'!I25</f>
        <v>416869.8476681789</v>
      </c>
      <c r="J44" s="684">
        <f>+'Part VI-Pro Forma'!J25</f>
        <v>421025.65347909799</v>
      </c>
      <c r="K44" s="684">
        <f>+'Part VI-Pro Forma'!K25</f>
        <v>425139.70827196207</v>
      </c>
    </row>
    <row r="45" spans="1:11">
      <c r="A45" s="683" t="s">
        <v>7211</v>
      </c>
      <c r="B45" s="684">
        <f>SUM('Part VI-Pro Forma'!B26:B29)</f>
        <v>-318556.61698247807</v>
      </c>
      <c r="C45" s="684">
        <f>SUM('Part VI-Pro Forma'!C26:C29)</f>
        <v>-318556.61698247807</v>
      </c>
      <c r="D45" s="684">
        <f>SUM('Part VI-Pro Forma'!D26:D29)</f>
        <v>-318556.61698247807</v>
      </c>
      <c r="E45" s="684">
        <f>SUM('Part VI-Pro Forma'!E26:E29)</f>
        <v>-318556.61698247807</v>
      </c>
      <c r="F45" s="684">
        <f>SUM('Part VI-Pro Forma'!F26:F29)</f>
        <v>-318556.61698247807</v>
      </c>
      <c r="G45" s="684">
        <f>SUM('Part VI-Pro Forma'!G26:G29)</f>
        <v>-318556.61698247807</v>
      </c>
      <c r="H45" s="684">
        <f>SUM('Part VI-Pro Forma'!H26:H29)</f>
        <v>-318556.61698247807</v>
      </c>
      <c r="I45" s="684">
        <f>SUM('Part VI-Pro Forma'!I26:I29)</f>
        <v>-318556.61698247807</v>
      </c>
      <c r="J45" s="684">
        <f>SUM('Part VI-Pro Forma'!J26:J29)</f>
        <v>-318556.61698247807</v>
      </c>
      <c r="K45" s="684">
        <f>SUM('Part VI-Pro Forma'!K26:K29)</f>
        <v>-318556.61698247807</v>
      </c>
    </row>
    <row r="46" spans="1:11">
      <c r="A46" s="683" t="s">
        <v>7212</v>
      </c>
      <c r="B46" s="685">
        <f t="shared" ref="B46:K46" si="0">-B44/B48-B45</f>
        <v>-3894.6083508552983</v>
      </c>
      <c r="C46" s="685">
        <f t="shared" si="0"/>
        <v>-7510.4661908553098</v>
      </c>
      <c r="D46" s="685">
        <f t="shared" si="0"/>
        <v>-11113.057854321902</v>
      </c>
      <c r="E46" s="685">
        <f t="shared" si="0"/>
        <v>-14700.668017724529</v>
      </c>
      <c r="F46" s="685">
        <f t="shared" si="0"/>
        <v>-18269.787217728619</v>
      </c>
      <c r="G46" s="685">
        <f t="shared" si="0"/>
        <v>-21817.607006732782</v>
      </c>
      <c r="H46" s="685">
        <f t="shared" si="0"/>
        <v>-25340.348276000412</v>
      </c>
      <c r="I46" s="685">
        <f t="shared" si="0"/>
        <v>-28834.922741004382</v>
      </c>
      <c r="J46" s="685">
        <f t="shared" si="0"/>
        <v>-32298.094250103633</v>
      </c>
      <c r="K46" s="685">
        <f t="shared" si="0"/>
        <v>-35726.473244156979</v>
      </c>
    </row>
    <row r="48" spans="1:11">
      <c r="A48" s="683" t="s">
        <v>7213</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1413</v>
      </c>
    </row>
    <row r="51" spans="1:17">
      <c r="A51" s="683" t="s">
        <v>1408</v>
      </c>
      <c r="B51" s="685">
        <f>+B44</f>
        <v>386941.47039999999</v>
      </c>
      <c r="C51" s="685">
        <f t="shared" ref="C51:K51" si="2">+C44</f>
        <v>391280.49980800005</v>
      </c>
      <c r="D51" s="685">
        <f t="shared" si="2"/>
        <v>395603.60980415996</v>
      </c>
      <c r="E51" s="685">
        <f t="shared" si="2"/>
        <v>399908.7420002431</v>
      </c>
      <c r="F51" s="685">
        <f t="shared" si="2"/>
        <v>404191.68504024803</v>
      </c>
      <c r="G51" s="685">
        <f t="shared" si="2"/>
        <v>408449.06878705299</v>
      </c>
      <c r="H51" s="685">
        <f t="shared" si="2"/>
        <v>412676.35831017414</v>
      </c>
      <c r="I51" s="685">
        <f t="shared" si="2"/>
        <v>416869.8476681789</v>
      </c>
      <c r="J51" s="685">
        <f t="shared" si="2"/>
        <v>421025.65347909799</v>
      </c>
      <c r="K51" s="685">
        <f t="shared" si="2"/>
        <v>425139.70827196207</v>
      </c>
    </row>
    <row r="52" spans="1:17">
      <c r="A52" s="683" t="s">
        <v>7214</v>
      </c>
      <c r="B52" s="685">
        <f>IF($B$25="N/A",B45,B45+$B$25)</f>
        <v>-322451.22533333336</v>
      </c>
      <c r="C52" s="685">
        <f t="shared" ref="C52:K52" si="3">IF($B$25="N/A",C45,C45+$B$25)</f>
        <v>-322451.22533333336</v>
      </c>
      <c r="D52" s="685">
        <f t="shared" si="3"/>
        <v>-322451.22533333336</v>
      </c>
      <c r="E52" s="685">
        <f t="shared" si="3"/>
        <v>-322451.22533333336</v>
      </c>
      <c r="F52" s="685">
        <f t="shared" si="3"/>
        <v>-322451.22533333336</v>
      </c>
      <c r="G52" s="685">
        <f t="shared" si="3"/>
        <v>-322451.22533333336</v>
      </c>
      <c r="H52" s="685">
        <f t="shared" si="3"/>
        <v>-322451.22533333336</v>
      </c>
      <c r="I52" s="685">
        <f t="shared" si="3"/>
        <v>-322451.22533333336</v>
      </c>
      <c r="J52" s="685">
        <f t="shared" si="3"/>
        <v>-322451.22533333336</v>
      </c>
      <c r="K52" s="685">
        <f t="shared" si="3"/>
        <v>-322451.22533333336</v>
      </c>
    </row>
    <row r="53" spans="1:17">
      <c r="A53" s="683" t="s">
        <v>7215</v>
      </c>
      <c r="B53" s="684">
        <f>+'Part VI-Pro Forma'!B31</f>
        <v>-7500</v>
      </c>
      <c r="C53" s="684">
        <f>+'Part VI-Pro Forma'!C31</f>
        <v>-7725</v>
      </c>
      <c r="D53" s="684">
        <f>+'Part VI-Pro Forma'!D31</f>
        <v>-7956.75</v>
      </c>
      <c r="E53" s="684">
        <f>+'Part VI-Pro Forma'!E31</f>
        <v>-8195.4524999999994</v>
      </c>
      <c r="F53" s="684">
        <f>+'Part VI-Pro Forma'!F31</f>
        <v>-8441.3160749999988</v>
      </c>
      <c r="G53" s="684">
        <f>+'Part VI-Pro Forma'!G31</f>
        <v>-8694.5555572499998</v>
      </c>
      <c r="H53" s="684">
        <f>+'Part VI-Pro Forma'!H31</f>
        <v>-8955.3922239674994</v>
      </c>
      <c r="I53" s="684">
        <f>+'Part VI-Pro Forma'!I31</f>
        <v>-9224.0539906865251</v>
      </c>
      <c r="J53" s="684">
        <f>+'Part VI-Pro Forma'!J31</f>
        <v>-9500.7756104071213</v>
      </c>
      <c r="K53" s="684">
        <f>+'Part VI-Pro Forma'!K31</f>
        <v>-9785.7988787193353</v>
      </c>
    </row>
    <row r="54" spans="1:17">
      <c r="A54" s="683" t="s">
        <v>7216</v>
      </c>
      <c r="B54" s="685">
        <f>+SUM(B51:B53)</f>
        <v>56990.245066666626</v>
      </c>
      <c r="C54" s="685">
        <f t="shared" ref="C54:K54" si="4">+SUM(C51:C53)</f>
        <v>61104.274474666687</v>
      </c>
      <c r="D54" s="685">
        <f t="shared" si="4"/>
        <v>65195.634470826597</v>
      </c>
      <c r="E54" s="685">
        <f t="shared" si="4"/>
        <v>69262.064166909739</v>
      </c>
      <c r="F54" s="685">
        <f t="shared" si="4"/>
        <v>73299.143631914674</v>
      </c>
      <c r="G54" s="685">
        <f t="shared" si="4"/>
        <v>77303.287896469628</v>
      </c>
      <c r="H54" s="685">
        <f t="shared" si="4"/>
        <v>81269.740752873273</v>
      </c>
      <c r="I54" s="685">
        <f t="shared" si="4"/>
        <v>85194.568344159008</v>
      </c>
      <c r="J54" s="685">
        <f t="shared" si="4"/>
        <v>89073.652535357513</v>
      </c>
      <c r="K54" s="685">
        <f t="shared" si="4"/>
        <v>92902.68405990937</v>
      </c>
    </row>
    <row r="55" spans="1:17">
      <c r="A55" s="683" t="s">
        <v>1412</v>
      </c>
      <c r="B55" s="685">
        <f>-B54</f>
        <v>-56990.245066666626</v>
      </c>
      <c r="C55" s="685">
        <f t="shared" ref="C55:K55" si="5">-C54</f>
        <v>-61104.274474666687</v>
      </c>
      <c r="D55" s="685">
        <f t="shared" si="5"/>
        <v>-65195.634470826597</v>
      </c>
      <c r="E55" s="685">
        <f t="shared" si="5"/>
        <v>-69262.064166909739</v>
      </c>
      <c r="F55" s="685">
        <f t="shared" si="5"/>
        <v>-73299.143631914674</v>
      </c>
      <c r="G55" s="685">
        <f t="shared" si="5"/>
        <v>-77303.287896469628</v>
      </c>
      <c r="H55" s="685">
        <f t="shared" si="5"/>
        <v>-81269.740752873273</v>
      </c>
      <c r="I55" s="685">
        <f t="shared" si="5"/>
        <v>-85194.568344159008</v>
      </c>
      <c r="J55" s="685">
        <f t="shared" si="5"/>
        <v>-89073.652535357513</v>
      </c>
      <c r="K55" s="685">
        <f t="shared" si="5"/>
        <v>-92902.68405990937</v>
      </c>
    </row>
    <row r="56" spans="1:17">
      <c r="A56" s="683" t="s">
        <v>7217</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7218</v>
      </c>
      <c r="B58" s="684">
        <f>IF($B$26="","",-FV('Part II-Sources of Funds'!$K$42/12,12,B52/12,B26))</f>
        <v>3091270.4280860019</v>
      </c>
      <c r="C58" s="684">
        <f>IF($B$26="","",-FV('Part II-Sources of Funds'!$K$42/12,12,C52/12,C26))</f>
        <v>-333384.75658493163</v>
      </c>
      <c r="D58" s="684">
        <f>IF($B$26="","",-FV('Part II-Sources of Funds'!$K$42/12,12,D52/12,D26))</f>
        <v>-333384.75658493163</v>
      </c>
      <c r="E58" s="684">
        <f>IF($B$26="","",-FV('Part II-Sources of Funds'!$K$42/12,12,E52/12,E26))</f>
        <v>-333384.75658493163</v>
      </c>
      <c r="F58" s="684">
        <f>IF($B$26="","",-FV('Part II-Sources of Funds'!$K$42/12,12,F52/12,F26))</f>
        <v>-333384.75658493163</v>
      </c>
      <c r="G58" s="684">
        <f>IF($B$26="","",-FV('Part II-Sources of Funds'!$K$42/12,12,G52/12,G26))</f>
        <v>-333384.75658493163</v>
      </c>
      <c r="H58" s="684">
        <f>IF($B$26="","",-FV('Part II-Sources of Funds'!$K$42/12,12,H52/12,H26))</f>
        <v>-333384.75658493163</v>
      </c>
      <c r="I58" s="684">
        <f>IF($B$26="","",-FV('Part II-Sources of Funds'!$K$42/12,12,I52/12,I26))</f>
        <v>-333384.75658493163</v>
      </c>
      <c r="J58" s="684">
        <f>IF($B$26="","",-FV('Part II-Sources of Funds'!$K$42/12,12,J52/12,J26))</f>
        <v>-333384.75658493163</v>
      </c>
      <c r="K58" s="684">
        <f>IF($B$26="","",-FV('Part II-Sources of Funds'!$K$42/12,12,K52/12,K26))</f>
        <v>-333384.75658493163</v>
      </c>
    </row>
    <row r="59" spans="1:17">
      <c r="A59" s="683" t="s">
        <v>1421</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7210</v>
      </c>
    </row>
    <row r="63" spans="1:17">
      <c r="A63" s="683" t="s">
        <v>479</v>
      </c>
      <c r="B63" s="738">
        <v>11</v>
      </c>
      <c r="C63" s="738">
        <v>12</v>
      </c>
      <c r="D63" s="738">
        <v>13</v>
      </c>
      <c r="E63" s="738">
        <v>14</v>
      </c>
      <c r="F63" s="738">
        <v>15</v>
      </c>
      <c r="G63" s="738">
        <v>16</v>
      </c>
      <c r="H63" s="738">
        <v>17</v>
      </c>
      <c r="I63" s="738">
        <v>18</v>
      </c>
      <c r="J63" s="738">
        <v>19</v>
      </c>
      <c r="K63" s="738">
        <v>20</v>
      </c>
    </row>
    <row r="64" spans="1:17">
      <c r="A64" s="683" t="s">
        <v>1408</v>
      </c>
      <c r="B64" s="684">
        <f>+'Part VI-Pro Forma'!B57</f>
        <v>429205.75361238181</v>
      </c>
      <c r="C64" s="684">
        <f>+'Part VI-Pro Forma'!C57</f>
        <v>433220.33299485932</v>
      </c>
      <c r="D64" s="684">
        <f>+'Part VI-Pro Forma'!D57</f>
        <v>437178.78449429368</v>
      </c>
      <c r="E64" s="684">
        <f>+'Part VI-Pro Forma'!E57</f>
        <v>441075.23316890252</v>
      </c>
      <c r="F64" s="684">
        <f>+'Part VI-Pro Forma'!F57</f>
        <v>444903.58320654521</v>
      </c>
      <c r="G64" s="684">
        <f>+'Part VI-Pro Forma'!G57</f>
        <v>448658.5098061685</v>
      </c>
      <c r="H64" s="684">
        <f>+'Part VI-Pro Forma'!H57</f>
        <v>452334.45078584965</v>
      </c>
      <c r="I64" s="684">
        <f>+'Part VI-Pro Forma'!I57</f>
        <v>455925.59790863068</v>
      </c>
      <c r="J64" s="684">
        <f>+'Part VI-Pro Forma'!J57</f>
        <v>459423.88791707926</v>
      </c>
      <c r="K64" s="684">
        <f>+'Part VI-Pro Forma'!K57</f>
        <v>462823.99326720502</v>
      </c>
    </row>
    <row r="65" spans="1:11">
      <c r="A65" s="683" t="s">
        <v>7211</v>
      </c>
      <c r="B65" s="684">
        <f>SUM('Part VI-Pro Forma'!B58:B61)</f>
        <v>-318556.61698247807</v>
      </c>
      <c r="C65" s="684">
        <f>SUM('Part VI-Pro Forma'!C58:C61)</f>
        <v>-318556.61698247807</v>
      </c>
      <c r="D65" s="684">
        <f>SUM('Part VI-Pro Forma'!D58:D61)</f>
        <v>-318556.61698247807</v>
      </c>
      <c r="E65" s="684">
        <f>SUM('Part VI-Pro Forma'!E58:E61)</f>
        <v>-318556.61698247807</v>
      </c>
      <c r="F65" s="684">
        <f>SUM('Part VI-Pro Forma'!F58:F61)</f>
        <v>-318556.61698247807</v>
      </c>
      <c r="G65" s="684">
        <f>SUM('Part VI-Pro Forma'!G58:G61)</f>
        <v>-318556.61698247807</v>
      </c>
      <c r="H65" s="684">
        <f>SUM('Part VI-Pro Forma'!H58:H61)</f>
        <v>-318556.61698247807</v>
      </c>
      <c r="I65" s="684">
        <f>SUM('Part VI-Pro Forma'!I58:I61)</f>
        <v>-318556.61698247807</v>
      </c>
      <c r="J65" s="684">
        <f>SUM('Part VI-Pro Forma'!J58:J61)</f>
        <v>-318556.61698247807</v>
      </c>
      <c r="K65" s="684">
        <f>SUM('Part VI-Pro Forma'!K58:K61)</f>
        <v>-318556.61698247807</v>
      </c>
    </row>
    <row r="66" spans="1:11">
      <c r="A66" s="683" t="s">
        <v>7212</v>
      </c>
      <c r="B66" s="685">
        <f t="shared" ref="B66:K66" si="7">-B64/B68-B65</f>
        <v>-39114.844361173455</v>
      </c>
      <c r="C66" s="685">
        <f t="shared" si="7"/>
        <v>-42460.327179904736</v>
      </c>
      <c r="D66" s="685">
        <f t="shared" si="7"/>
        <v>-45759.036762766656</v>
      </c>
      <c r="E66" s="685">
        <f t="shared" si="7"/>
        <v>-49006.077324940707</v>
      </c>
      <c r="F66" s="685">
        <f t="shared" si="7"/>
        <v>-52196.369022976316</v>
      </c>
      <c r="G66" s="685">
        <f t="shared" si="7"/>
        <v>-55325.474522662349</v>
      </c>
      <c r="H66" s="685">
        <f t="shared" si="7"/>
        <v>-58388.758672396652</v>
      </c>
      <c r="I66" s="685">
        <f t="shared" si="7"/>
        <v>-61381.381274714193</v>
      </c>
      <c r="J66" s="685">
        <f t="shared" si="7"/>
        <v>-64296.62294842134</v>
      </c>
      <c r="K66" s="685">
        <f t="shared" si="7"/>
        <v>-67130.044073526107</v>
      </c>
    </row>
    <row r="68" spans="1:11">
      <c r="A68" s="683" t="s">
        <v>7213</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1413</v>
      </c>
    </row>
    <row r="71" spans="1:11">
      <c r="A71" s="683" t="s">
        <v>1408</v>
      </c>
      <c r="B71" s="685">
        <f t="shared" ref="B71:G71" si="9">+B64</f>
        <v>429205.75361238181</v>
      </c>
      <c r="C71" s="685">
        <f t="shared" si="9"/>
        <v>433220.33299485932</v>
      </c>
      <c r="D71" s="685">
        <f t="shared" si="9"/>
        <v>437178.78449429368</v>
      </c>
      <c r="E71" s="685">
        <f t="shared" si="9"/>
        <v>441075.23316890252</v>
      </c>
      <c r="F71" s="685">
        <f t="shared" si="9"/>
        <v>444903.58320654521</v>
      </c>
      <c r="G71" s="685">
        <f t="shared" si="9"/>
        <v>448658.5098061685</v>
      </c>
      <c r="H71" s="685">
        <f>+H64</f>
        <v>452334.45078584965</v>
      </c>
      <c r="I71" s="685">
        <f>+I64</f>
        <v>455925.59790863068</v>
      </c>
      <c r="J71" s="685">
        <f>+J64</f>
        <v>459423.88791707926</v>
      </c>
      <c r="K71" s="685">
        <f>+K64</f>
        <v>462823.99326720502</v>
      </c>
    </row>
    <row r="72" spans="1:11">
      <c r="A72" s="683" t="s">
        <v>7214</v>
      </c>
      <c r="B72" s="685">
        <f t="shared" ref="B72:G72" si="10">IF($B$25="N/A",B65,B65+$B$25)</f>
        <v>-322451.22533333336</v>
      </c>
      <c r="C72" s="685">
        <f t="shared" si="10"/>
        <v>-322451.22533333336</v>
      </c>
      <c r="D72" s="685">
        <f t="shared" si="10"/>
        <v>-322451.22533333336</v>
      </c>
      <c r="E72" s="685">
        <f t="shared" si="10"/>
        <v>-322451.22533333336</v>
      </c>
      <c r="F72" s="685">
        <f t="shared" si="10"/>
        <v>-322451.22533333336</v>
      </c>
      <c r="G72" s="685">
        <f t="shared" si="10"/>
        <v>-322451.22533333336</v>
      </c>
      <c r="H72" s="685">
        <f>IF($B$25="N/A",H65,H65+$B$25)</f>
        <v>-322451.22533333336</v>
      </c>
      <c r="I72" s="685">
        <f>IF($B$25="N/A",I65,I65+$B$25)</f>
        <v>-322451.22533333336</v>
      </c>
      <c r="J72" s="685">
        <f>IF($B$25="N/A",J65,J65+$B$25)</f>
        <v>-322451.22533333336</v>
      </c>
      <c r="K72" s="685">
        <f>IF($B$25="N/A",K65,K65+$B$25)</f>
        <v>-322451.22533333336</v>
      </c>
    </row>
    <row r="73" spans="1:11">
      <c r="A73" s="683" t="s">
        <v>7215</v>
      </c>
      <c r="B73" s="684">
        <f>+'Part VI-Pro Forma'!B63</f>
        <v>-10079.372845080916</v>
      </c>
      <c r="C73" s="684">
        <f>+'Part VI-Pro Forma'!C63</f>
        <v>-10381.754030433343</v>
      </c>
      <c r="D73" s="684">
        <f>+'Part VI-Pro Forma'!D63</f>
        <v>-10693.206651346343</v>
      </c>
      <c r="E73" s="684">
        <f>+'Part VI-Pro Forma'!E63</f>
        <v>-11014.002850886734</v>
      </c>
      <c r="F73" s="684">
        <f>+'Part VI-Pro Forma'!F63</f>
        <v>-11344.422936413337</v>
      </c>
      <c r="G73" s="684">
        <f>+'Part VI-Pro Forma'!G63</f>
        <v>-11684.755624505737</v>
      </c>
      <c r="H73" s="684">
        <f>+'Part VI-Pro Forma'!H63</f>
        <v>-12035.298293240909</v>
      </c>
      <c r="I73" s="684">
        <f>+'Part VI-Pro Forma'!I63</f>
        <v>-12396.357242038137</v>
      </c>
      <c r="J73" s="684">
        <f>+'Part VI-Pro Forma'!J63</f>
        <v>-12768.247959299282</v>
      </c>
      <c r="K73" s="684">
        <f>+'Part VI-Pro Forma'!K63</f>
        <v>-13151.29539807826</v>
      </c>
    </row>
    <row r="74" spans="1:11">
      <c r="A74" s="683" t="s">
        <v>7216</v>
      </c>
      <c r="B74" s="685">
        <f t="shared" ref="B74:G74" si="11">+SUM(B71:B73)</f>
        <v>96675.155433967535</v>
      </c>
      <c r="C74" s="685">
        <f t="shared" si="11"/>
        <v>100387.35363109261</v>
      </c>
      <c r="D74" s="685">
        <f t="shared" si="11"/>
        <v>104034.35250961396</v>
      </c>
      <c r="E74" s="685">
        <f t="shared" si="11"/>
        <v>107610.00498468241</v>
      </c>
      <c r="F74" s="685">
        <f t="shared" si="11"/>
        <v>111107.93493679851</v>
      </c>
      <c r="G74" s="685">
        <f t="shared" si="11"/>
        <v>114522.5288483294</v>
      </c>
      <c r="H74" s="685">
        <f>+SUM(H71:H73)</f>
        <v>117847.92715927538</v>
      </c>
      <c r="I74" s="685">
        <f>+SUM(I71:I73)</f>
        <v>121078.01533325917</v>
      </c>
      <c r="J74" s="685">
        <f>+SUM(J71:J73)</f>
        <v>124204.41462444662</v>
      </c>
      <c r="K74" s="685">
        <f>+SUM(K71:K73)</f>
        <v>127221.47253579339</v>
      </c>
    </row>
    <row r="75" spans="1:11">
      <c r="A75" s="683" t="s">
        <v>1412</v>
      </c>
      <c r="B75" s="685">
        <f t="shared" ref="B75:G75" si="12">-B74</f>
        <v>-96675.155433967535</v>
      </c>
      <c r="C75" s="685">
        <f t="shared" si="12"/>
        <v>-100387.35363109261</v>
      </c>
      <c r="D75" s="685">
        <f t="shared" si="12"/>
        <v>-104034.35250961396</v>
      </c>
      <c r="E75" s="685">
        <f t="shared" si="12"/>
        <v>-107610.00498468241</v>
      </c>
      <c r="F75" s="685">
        <f t="shared" si="12"/>
        <v>-111107.93493679851</v>
      </c>
      <c r="G75" s="685">
        <f t="shared" si="12"/>
        <v>-114522.5288483294</v>
      </c>
      <c r="H75" s="685">
        <f>-H74</f>
        <v>-117847.92715927538</v>
      </c>
      <c r="I75" s="685">
        <f>-I74</f>
        <v>-121078.01533325917</v>
      </c>
      <c r="J75" s="685">
        <f>-J74</f>
        <v>-124204.41462444662</v>
      </c>
      <c r="K75" s="685">
        <f>-K74</f>
        <v>-127221.47253579339</v>
      </c>
    </row>
    <row r="76" spans="1:11">
      <c r="A76" s="683" t="s">
        <v>7217</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7218</v>
      </c>
      <c r="B78" s="684">
        <f>IF($B$26="","",-FV('Part II-Sources of Funds'!$K$42/12,12,B72/12,K58))</f>
        <v>-691759.46690969355</v>
      </c>
      <c r="C78" s="684">
        <f>IF($B$26="","",-FV('Part II-Sources of Funds'!$K$42/12,12,C72/12,L58))</f>
        <v>-333384.75658493163</v>
      </c>
      <c r="D78" s="684">
        <f>IF($B$26="","",-FV('Part II-Sources of Funds'!$K$42/12,12,D72/12,M58))</f>
        <v>-333384.75658493163</v>
      </c>
      <c r="E78" s="684">
        <f>IF($B$26="","",-FV('Part II-Sources of Funds'!$K$42/12,12,E72/12,N58))</f>
        <v>-333384.75658493163</v>
      </c>
      <c r="F78" s="684">
        <f>IF($B$26="","",-FV('Part II-Sources of Funds'!$K$42/12,12,F72/12,O58))</f>
        <v>-333384.75658493163</v>
      </c>
      <c r="G78" s="684">
        <f>IF($B$26="","",-FV('Part II-Sources of Funds'!$K$42/12,12,G72/12,P58))</f>
        <v>-333384.75658493163</v>
      </c>
      <c r="H78" s="684">
        <f>IF($B$26="","",-FV('Part II-Sources of Funds'!$K$42/12,12,H72/12,Q58))</f>
        <v>-333384.75658493163</v>
      </c>
      <c r="I78" s="684">
        <f>IF($B$26="","",-FV('Part II-Sources of Funds'!$K$42/12,12,I72/12,R58))</f>
        <v>-333384.75658493163</v>
      </c>
      <c r="J78" s="684">
        <f>IF($B$26="","",-FV('Part II-Sources of Funds'!$K$42/12,12,J72/12,S58))</f>
        <v>-333384.75658493163</v>
      </c>
      <c r="K78" s="684">
        <f>IF($B$26="","",-FV('Part II-Sources of Funds'!$K$42/12,12,K72/12,T58))</f>
        <v>-333384.75658493163</v>
      </c>
    </row>
    <row r="79" spans="1:11">
      <c r="A79" s="683" t="s">
        <v>1421</v>
      </c>
    </row>
    <row r="82" spans="1:2">
      <c r="A82" s="683" t="s">
        <v>7219</v>
      </c>
      <c r="B82" s="735" t="s">
        <v>322</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140625" defaultRowHeight="14.25"/>
  <cols>
    <col min="1" max="1" width="22.85546875" style="366" customWidth="1"/>
    <col min="2" max="2" width="1.85546875" style="366" customWidth="1"/>
    <col min="3" max="3" width="13" style="366" customWidth="1"/>
    <col min="4" max="4" width="11.140625" style="366" customWidth="1"/>
    <col min="5" max="5" width="14.85546875" style="366" customWidth="1"/>
    <col min="6" max="6" width="15.140625" style="366" customWidth="1"/>
    <col min="7" max="7" width="11.85546875" style="366" customWidth="1"/>
    <col min="8" max="8" width="11.42578125" style="366" customWidth="1"/>
    <col min="9" max="9" width="10.5703125" style="366" customWidth="1"/>
    <col min="10" max="10" width="6" style="366" customWidth="1"/>
    <col min="11" max="11" width="12.85546875" style="366" customWidth="1"/>
    <col min="12" max="12" width="10.85546875" style="366" customWidth="1"/>
    <col min="13" max="13" width="26.140625" style="366" customWidth="1"/>
    <col min="14" max="14" width="9.140625" style="366"/>
    <col min="15" max="15" width="12.42578125" style="366" customWidth="1"/>
    <col min="16" max="16" width="9.140625" style="366"/>
    <col min="17" max="17" width="11.85546875" style="366" bestFit="1" customWidth="1"/>
    <col min="18" max="16384" width="9.140625" style="366"/>
  </cols>
  <sheetData>
    <row r="1" spans="1:15" ht="13.5" customHeight="1">
      <c r="A1" s="367" t="s">
        <v>7220</v>
      </c>
      <c r="B1" s="367"/>
      <c r="C1" s="366" t="str">
        <f>'Sensitivity Analysis'!C8</f>
        <v>Westchester Village II</v>
      </c>
    </row>
    <row r="2" spans="1:15" ht="13.5" customHeight="1"/>
    <row r="3" spans="1:15" ht="13.5" customHeight="1">
      <c r="A3" s="367" t="s">
        <v>7221</v>
      </c>
      <c r="C3" s="366" t="s">
        <v>7222</v>
      </c>
      <c r="E3" s="422">
        <f>SUM('Part III-A-Uses of Funds'!J163,'Part III-A-Uses of Funds'!M163,'Part III-A-Uses of Funds'!P163)</f>
        <v>18862292</v>
      </c>
      <c r="F3" s="2626" t="s">
        <v>7223</v>
      </c>
      <c r="H3" s="726">
        <v>27.5</v>
      </c>
      <c r="I3" s="366" t="s">
        <v>497</v>
      </c>
      <c r="K3" s="371" t="s">
        <v>7224</v>
      </c>
      <c r="M3" s="2626"/>
      <c r="O3" s="423"/>
    </row>
    <row r="4" spans="1:15" ht="13.5" customHeight="1">
      <c r="C4" s="366" t="s">
        <v>7225</v>
      </c>
      <c r="E4" s="422">
        <f>SUM('Part III-A-Uses of Funds'!G97:H101)</f>
        <v>61500</v>
      </c>
      <c r="F4" s="2626" t="s">
        <v>7226</v>
      </c>
      <c r="H4" s="367">
        <f>'Part II-Sources of Funds'!M42</f>
        <v>40</v>
      </c>
      <c r="I4" s="366" t="s">
        <v>497</v>
      </c>
      <c r="K4" s="424" t="s">
        <v>7227</v>
      </c>
      <c r="M4" s="2626"/>
    </row>
    <row r="5" spans="1:15" ht="13.5" customHeight="1">
      <c r="C5" s="366" t="s">
        <v>7228</v>
      </c>
      <c r="E5" s="422">
        <f>SUM('Part III-A-Uses of Funds'!G105:H111)</f>
        <v>191000</v>
      </c>
      <c r="F5" s="2626" t="s">
        <v>7229</v>
      </c>
      <c r="H5" s="726">
        <v>15</v>
      </c>
      <c r="I5" s="366" t="s">
        <v>497</v>
      </c>
      <c r="K5" s="423">
        <f>-E6</f>
        <v>-16332894</v>
      </c>
    </row>
    <row r="6" spans="1:15" ht="13.5" customHeight="1">
      <c r="C6" s="366" t="s">
        <v>7230</v>
      </c>
      <c r="E6" s="425">
        <f>'Part II-Sources of Funds'!$I$53+'Part II-Sources of Funds'!$I$54</f>
        <v>16332894</v>
      </c>
      <c r="F6" s="2626" t="s">
        <v>7231</v>
      </c>
      <c r="H6" s="426">
        <v>0.35</v>
      </c>
      <c r="K6" s="423" t="e">
        <f>C24</f>
        <v>#VALUE!</v>
      </c>
      <c r="M6" s="366" t="s">
        <v>7232</v>
      </c>
      <c r="O6" s="427">
        <f>'Sensitivity Analysis'!K32</f>
        <v>0</v>
      </c>
    </row>
    <row r="7" spans="1:15" ht="13.5" customHeight="1">
      <c r="K7" s="423" t="e">
        <f>D24</f>
        <v>#VALUE!</v>
      </c>
      <c r="O7" s="428"/>
    </row>
    <row r="8" spans="1:15" ht="13.5" customHeight="1">
      <c r="A8" s="367" t="s">
        <v>479</v>
      </c>
      <c r="C8" s="429">
        <v>1</v>
      </c>
      <c r="D8" s="429">
        <v>2</v>
      </c>
      <c r="E8" s="429">
        <v>3</v>
      </c>
      <c r="F8" s="429">
        <v>4</v>
      </c>
      <c r="G8" s="429">
        <v>5</v>
      </c>
      <c r="H8" s="429">
        <v>6</v>
      </c>
      <c r="I8" s="429">
        <v>7</v>
      </c>
      <c r="K8" s="423" t="e">
        <f>E24</f>
        <v>#VALUE!</v>
      </c>
      <c r="M8" s="366" t="s">
        <v>7233</v>
      </c>
      <c r="O8" s="707" t="e">
        <f>#REF!+#REF!+#REF!</f>
        <v>#REF!</v>
      </c>
    </row>
    <row r="9" spans="1:15" ht="13.5" customHeight="1">
      <c r="A9" s="366" t="s">
        <v>7234</v>
      </c>
      <c r="C9" s="430">
        <f>'Part VI-Pro Forma'!B33</f>
        <v>29381.853417521925</v>
      </c>
      <c r="D9" s="430">
        <f>'Part VI-Pro Forma'!C33</f>
        <v>64998.882825521985</v>
      </c>
      <c r="E9" s="430">
        <f>'Part VI-Pro Forma'!D33</f>
        <v>69090.242821681895</v>
      </c>
      <c r="F9" s="430">
        <f>'Part VI-Pro Forma'!E33</f>
        <v>73156.672517765037</v>
      </c>
      <c r="G9" s="430">
        <f>'Part VI-Pro Forma'!F33</f>
        <v>77193.751982769973</v>
      </c>
      <c r="H9" s="430">
        <f>'Part VI-Pro Forma'!G33</f>
        <v>81197.896247324927</v>
      </c>
      <c r="I9" s="430">
        <f>'Part VI-Pro Forma'!H33</f>
        <v>85164.349103728571</v>
      </c>
      <c r="K9" s="423" t="e">
        <f>F24</f>
        <v>#VALUE!</v>
      </c>
      <c r="N9" s="431" t="s">
        <v>7235</v>
      </c>
    </row>
    <row r="10" spans="1:15" ht="13.5" customHeight="1">
      <c r="A10" s="366" t="s">
        <v>7236</v>
      </c>
      <c r="C10" s="704">
        <f>'Part II-Sources of Funds'!I42-'Part VI-Pro Forma'!B40</f>
        <v>18281.157305690926</v>
      </c>
      <c r="D10" s="432">
        <f>'Part VI-Pro Forma'!B40-'Part VI-Pro Forma'!C40</f>
        <v>19651.481732216664</v>
      </c>
      <c r="E10" s="432">
        <f>'Part VI-Pro Forma'!C40-'Part VI-Pro Forma'!D40</f>
        <v>21124.523344670422</v>
      </c>
      <c r="F10" s="432">
        <f>'Part VI-Pro Forma'!D40-'Part VI-Pro Forma'!E40</f>
        <v>22707.981648423709</v>
      </c>
      <c r="G10" s="432">
        <f>'Part VI-Pro Forma'!E40-'Part VI-Pro Forma'!F40</f>
        <v>24410.133290664293</v>
      </c>
      <c r="H10" s="432">
        <f>'Part VI-Pro Forma'!F40-'Part VI-Pro Forma'!G40</f>
        <v>26239.875321960077</v>
      </c>
      <c r="I10" s="432">
        <f>'Part VI-Pro Forma'!G40-'Part VI-Pro Forma'!H40</f>
        <v>28206.771700642072</v>
      </c>
      <c r="K10" s="423" t="e">
        <f>G24</f>
        <v>#VALUE!</v>
      </c>
      <c r="N10" s="431" t="s">
        <v>7237</v>
      </c>
      <c r="O10" s="428"/>
    </row>
    <row r="11" spans="1:15" ht="13.5" customHeight="1">
      <c r="A11" s="366" t="s">
        <v>7236</v>
      </c>
      <c r="C11" s="704" t="e">
        <f>'Part II-Sources of Funds'!I43-'Part VI-Pro Forma'!B41</f>
        <v>#VALUE!</v>
      </c>
      <c r="D11" s="432" t="e">
        <f>'Part VI-Pro Forma'!B41-'Part VI-Pro Forma'!C41</f>
        <v>#VALUE!</v>
      </c>
      <c r="E11" s="432" t="e">
        <f>'Part VI-Pro Forma'!C41-'Part VI-Pro Forma'!D41</f>
        <v>#VALUE!</v>
      </c>
      <c r="F11" s="432" t="e">
        <f>'Part VI-Pro Forma'!D41-'Part VI-Pro Forma'!E41</f>
        <v>#VALUE!</v>
      </c>
      <c r="G11" s="432" t="e">
        <f>'Part VI-Pro Forma'!E41-'Part VI-Pro Forma'!F41</f>
        <v>#VALUE!</v>
      </c>
      <c r="H11" s="432" t="e">
        <f>'Part VI-Pro Forma'!F41-'Part VI-Pro Forma'!G41</f>
        <v>#VALUE!</v>
      </c>
      <c r="I11" s="432" t="e">
        <f>'Part VI-Pro Forma'!G41-'Part VI-Pro Forma'!H41</f>
        <v>#VALUE!</v>
      </c>
      <c r="K11" s="423" t="e">
        <f>H24</f>
        <v>#VALUE!</v>
      </c>
      <c r="O11" s="428"/>
    </row>
    <row r="12" spans="1:15" ht="13.5" customHeight="1">
      <c r="A12" s="366" t="s">
        <v>7236</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7238</v>
      </c>
      <c r="N12" s="433">
        <v>0.06</v>
      </c>
      <c r="O12" s="428">
        <f>N12*O6</f>
        <v>0</v>
      </c>
    </row>
    <row r="13" spans="1:15" ht="13.5" customHeight="1">
      <c r="A13" s="434" t="s">
        <v>7239</v>
      </c>
      <c r="B13" s="434"/>
      <c r="C13" s="705">
        <f>'Part VI-Pro Forma'!B23</f>
        <v>-18000</v>
      </c>
      <c r="D13" s="705">
        <f>'Part VI-Pro Forma'!C23</f>
        <v>-18540</v>
      </c>
      <c r="E13" s="705">
        <f>'Part VI-Pro Forma'!D23</f>
        <v>-19096.2</v>
      </c>
      <c r="F13" s="705">
        <f>'Part VI-Pro Forma'!E23</f>
        <v>-19669.085999999999</v>
      </c>
      <c r="G13" s="705">
        <f>'Part VI-Pro Forma'!F23</f>
        <v>-20259.158579999999</v>
      </c>
      <c r="H13" s="705">
        <f>'Part VI-Pro Forma'!G23</f>
        <v>-20866.933337399998</v>
      </c>
      <c r="I13" s="705">
        <f>'Part VI-Pro Forma'!H23</f>
        <v>-21492.941337521999</v>
      </c>
      <c r="K13" s="423" t="e">
        <f>C44</f>
        <v>#VALUE!</v>
      </c>
      <c r="O13" s="428"/>
    </row>
    <row r="14" spans="1:15" ht="13.5" customHeight="1">
      <c r="A14" s="434" t="s">
        <v>7240</v>
      </c>
      <c r="B14" s="434"/>
      <c r="C14" s="705">
        <f>'Part VI-Pro Forma'!B32</f>
        <v>-31503</v>
      </c>
      <c r="D14" s="705">
        <f>'Part VI-Pro Forma'!C32</f>
        <v>0</v>
      </c>
      <c r="E14" s="705">
        <f>'Part VI-Pro Forma'!D32</f>
        <v>0</v>
      </c>
      <c r="F14" s="705">
        <f>'Part VI-Pro Forma'!E32</f>
        <v>0</v>
      </c>
      <c r="G14" s="705">
        <f>'Part VI-Pro Forma'!F32</f>
        <v>0</v>
      </c>
      <c r="H14" s="705">
        <f>'Part VI-Pro Forma'!G32</f>
        <v>0</v>
      </c>
      <c r="I14" s="705">
        <f>'Part VI-Pro Forma'!H32</f>
        <v>0</v>
      </c>
      <c r="K14" s="423" t="e">
        <f>D44</f>
        <v>#VALUE!</v>
      </c>
      <c r="M14" s="366" t="s">
        <v>7241</v>
      </c>
      <c r="O14" s="428" t="e">
        <f>O6-O8-O12</f>
        <v>#REF!</v>
      </c>
    </row>
    <row r="15" spans="1:15" ht="13.5" customHeight="1">
      <c r="A15" s="366" t="s">
        <v>7242</v>
      </c>
      <c r="C15" s="435">
        <f t="shared" ref="C15:I15" si="0">$E$3/$H$3</f>
        <v>685901.52727272722</v>
      </c>
      <c r="D15" s="435">
        <f t="shared" si="0"/>
        <v>685901.52727272722</v>
      </c>
      <c r="E15" s="435">
        <f t="shared" si="0"/>
        <v>685901.52727272722</v>
      </c>
      <c r="F15" s="435">
        <f t="shared" si="0"/>
        <v>685901.52727272722</v>
      </c>
      <c r="G15" s="435">
        <f t="shared" si="0"/>
        <v>685901.52727272722</v>
      </c>
      <c r="H15" s="435">
        <f t="shared" si="0"/>
        <v>685901.52727272722</v>
      </c>
      <c r="I15" s="435">
        <f t="shared" si="0"/>
        <v>685901.52727272722</v>
      </c>
      <c r="K15" s="423" t="e">
        <f>E44</f>
        <v>#VALUE!</v>
      </c>
      <c r="O15" s="428"/>
    </row>
    <row r="16" spans="1:15" ht="13.5" customHeight="1">
      <c r="A16" s="366" t="s">
        <v>7243</v>
      </c>
      <c r="C16" s="435">
        <f>IF(C$8&lt;=$H$4,($E$4/$H$4),0)+IF(C$8&lt;=$H$5,($E$5/$H$5),0)</f>
        <v>14270.833333333334</v>
      </c>
      <c r="D16" s="435">
        <f t="shared" ref="D16:I16" si="1">IF(D$8&lt;=$H$4,($E$4/$H$4),0)+IF(D$8&lt;=$H$5,($E$5/$H$5),0)</f>
        <v>14270.833333333334</v>
      </c>
      <c r="E16" s="435">
        <f t="shared" si="1"/>
        <v>14270.833333333334</v>
      </c>
      <c r="F16" s="435">
        <f t="shared" si="1"/>
        <v>14270.833333333334</v>
      </c>
      <c r="G16" s="435">
        <f t="shared" si="1"/>
        <v>14270.833333333334</v>
      </c>
      <c r="H16" s="435">
        <f t="shared" si="1"/>
        <v>14270.833333333334</v>
      </c>
      <c r="I16" s="435">
        <f t="shared" si="1"/>
        <v>14270.833333333334</v>
      </c>
      <c r="K16" s="423" t="e">
        <f>F44</f>
        <v>#VALUE!</v>
      </c>
      <c r="M16" s="366" t="s">
        <v>7244</v>
      </c>
      <c r="O16" s="428">
        <f>E3</f>
        <v>18862292</v>
      </c>
    </row>
    <row r="17" spans="1:17" ht="13.5" customHeight="1">
      <c r="A17" s="366" t="s">
        <v>7245</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7242</v>
      </c>
      <c r="O17" s="428">
        <f>20*(E3/H3)</f>
        <v>13718030.545454545</v>
      </c>
    </row>
    <row r="18" spans="1:17" ht="13.5" customHeight="1">
      <c r="A18" s="366" t="s">
        <v>7246</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7247</v>
      </c>
      <c r="O19" s="428">
        <f>O16-O17</f>
        <v>5144261.4545454551</v>
      </c>
    </row>
    <row r="20" spans="1:17" ht="13.5" customHeight="1">
      <c r="A20" s="366" t="s">
        <v>7248</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7249</v>
      </c>
      <c r="C21" s="436">
        <f>'Part III-A-Uses of Funds'!$J$192</f>
        <v>1350000</v>
      </c>
      <c r="D21" s="436">
        <f t="shared" ref="D21:I21" si="5">C21</f>
        <v>1350000</v>
      </c>
      <c r="E21" s="436">
        <f t="shared" si="5"/>
        <v>1350000</v>
      </c>
      <c r="F21" s="436">
        <f t="shared" si="5"/>
        <v>1350000</v>
      </c>
      <c r="G21" s="436">
        <f t="shared" si="5"/>
        <v>1350000</v>
      </c>
      <c r="H21" s="436">
        <f t="shared" si="5"/>
        <v>1350000</v>
      </c>
      <c r="I21" s="436">
        <f t="shared" si="5"/>
        <v>1350000</v>
      </c>
      <c r="J21" s="366" t="s">
        <v>7021</v>
      </c>
      <c r="K21" s="423" t="e">
        <f>D64</f>
        <v>#VALUE!</v>
      </c>
      <c r="O21" s="428"/>
    </row>
    <row r="22" spans="1:17" ht="13.5" customHeight="1">
      <c r="A22" s="366" t="s">
        <v>7250</v>
      </c>
      <c r="C22" s="436">
        <f>C21</f>
        <v>1350000</v>
      </c>
      <c r="D22" s="436">
        <f t="shared" ref="D22:I22" si="6">D21</f>
        <v>1350000</v>
      </c>
      <c r="E22" s="436">
        <f t="shared" si="6"/>
        <v>1350000</v>
      </c>
      <c r="F22" s="436">
        <f t="shared" si="6"/>
        <v>1350000</v>
      </c>
      <c r="G22" s="436">
        <f t="shared" si="6"/>
        <v>1350000</v>
      </c>
      <c r="H22" s="436">
        <f t="shared" si="6"/>
        <v>1350000</v>
      </c>
      <c r="I22" s="436">
        <f t="shared" si="6"/>
        <v>1350000</v>
      </c>
      <c r="K22" s="423" t="e">
        <f>E64</f>
        <v>#VALUE!</v>
      </c>
      <c r="M22" s="366" t="s">
        <v>7232</v>
      </c>
      <c r="O22" s="428">
        <f>O6</f>
        <v>0</v>
      </c>
    </row>
    <row r="23" spans="1:17" ht="13.5" customHeight="1">
      <c r="A23" s="366" t="s">
        <v>7251</v>
      </c>
      <c r="C23" s="430">
        <v>0</v>
      </c>
      <c r="D23" s="430">
        <v>0</v>
      </c>
      <c r="E23" s="430">
        <v>0</v>
      </c>
      <c r="F23" s="430">
        <v>0</v>
      </c>
      <c r="G23" s="430">
        <v>0</v>
      </c>
      <c r="H23" s="430">
        <v>0</v>
      </c>
      <c r="I23" s="430">
        <v>0</v>
      </c>
      <c r="K23" s="423" t="e">
        <f>F64</f>
        <v>#VALUE!</v>
      </c>
      <c r="M23" s="366" t="s">
        <v>7252</v>
      </c>
      <c r="O23" s="428">
        <f>O19</f>
        <v>5144261.4545454551</v>
      </c>
    </row>
    <row r="24" spans="1:17" ht="13.5" customHeight="1">
      <c r="A24" s="366" t="s">
        <v>7224</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7253</v>
      </c>
      <c r="O25" s="428">
        <f>O22-O23</f>
        <v>-5144261.4545454551</v>
      </c>
      <c r="Q25" s="437"/>
    </row>
    <row r="26" spans="1:17" ht="13.5" customHeight="1">
      <c r="A26" s="438"/>
      <c r="B26" s="438"/>
      <c r="C26" s="438"/>
      <c r="D26" s="438"/>
      <c r="E26" s="438"/>
      <c r="F26" s="438"/>
      <c r="G26" s="438"/>
      <c r="H26" s="438"/>
      <c r="I26" s="438"/>
      <c r="K26" s="423"/>
      <c r="O26" s="428"/>
    </row>
    <row r="27" spans="1:17" ht="13.5" customHeight="1">
      <c r="K27" s="423"/>
      <c r="M27" s="366" t="s">
        <v>7254</v>
      </c>
      <c r="N27" s="439"/>
      <c r="O27" s="433">
        <v>0.2</v>
      </c>
    </row>
    <row r="28" spans="1:17" ht="13.5" customHeight="1">
      <c r="A28" s="367" t="s">
        <v>479</v>
      </c>
      <c r="B28" s="367"/>
      <c r="C28" s="429">
        <v>8</v>
      </c>
      <c r="D28" s="429">
        <v>9</v>
      </c>
      <c r="E28" s="429">
        <v>10</v>
      </c>
      <c r="F28" s="429">
        <v>11</v>
      </c>
      <c r="G28" s="429">
        <v>12</v>
      </c>
      <c r="H28" s="429">
        <v>13</v>
      </c>
      <c r="I28" s="429">
        <v>14</v>
      </c>
      <c r="N28" s="439"/>
      <c r="O28" s="439"/>
    </row>
    <row r="29" spans="1:17" ht="13.5" customHeight="1">
      <c r="A29" s="366" t="s">
        <v>7234</v>
      </c>
      <c r="C29" s="430">
        <f>'Part VI-Pro Forma'!I33</f>
        <v>89089.176695014306</v>
      </c>
      <c r="D29" s="430">
        <f>'Part VI-Pro Forma'!J33</f>
        <v>92968.260886212811</v>
      </c>
      <c r="E29" s="430">
        <f>'Part VI-Pro Forma'!K33</f>
        <v>96797.292410764669</v>
      </c>
      <c r="F29" s="430">
        <f>'Part VI-Pro Forma'!B65</f>
        <v>100569.76378482283</v>
      </c>
      <c r="G29" s="430">
        <f>'Part VI-Pro Forma'!C65</f>
        <v>104281.96198194791</v>
      </c>
      <c r="H29" s="430">
        <f>'Part VI-Pro Forma'!D65</f>
        <v>107928.96086046926</v>
      </c>
      <c r="I29" s="430">
        <f>'Part VI-Pro Forma'!E65</f>
        <v>111504.61333553771</v>
      </c>
      <c r="N29" s="439"/>
      <c r="O29" s="439"/>
    </row>
    <row r="30" spans="1:17" ht="13.5" customHeight="1">
      <c r="A30" s="366" t="s">
        <v>7236</v>
      </c>
      <c r="C30" s="432">
        <f>'Part VI-Pro Forma'!H40-'Part VI-Pro Forma'!I40</f>
        <v>30321.103283074684</v>
      </c>
      <c r="D30" s="432">
        <f>'Part VI-Pro Forma'!I40-'Part VI-Pro Forma'!J40</f>
        <v>32593.921561109833</v>
      </c>
      <c r="E30" s="432">
        <f>'Part VI-Pro Forma'!J40-'Part VI-Pro Forma'!K40</f>
        <v>35037.106427615508</v>
      </c>
      <c r="F30" s="702">
        <f>'Part VI-Pro Forma'!K40-'Part VI-Pro Forma'!B72</f>
        <v>37663.428271999117</v>
      </c>
      <c r="G30" s="702">
        <f>'Part VI-Pro Forma'!B72-'Part VI-Pro Forma'!C72</f>
        <v>40486.614730318543</v>
      </c>
      <c r="H30" s="702">
        <f>'Part VI-Pro Forma'!C72-'Part VI-Pro Forma'!D72</f>
        <v>43521.422438856214</v>
      </c>
      <c r="I30" s="702">
        <f>'Part VI-Pro Forma'!D72-'Part VI-Pro Forma'!E72</f>
        <v>46783.714166227262</v>
      </c>
    </row>
    <row r="31" spans="1:17" ht="13.5" customHeight="1">
      <c r="A31" s="366" t="s">
        <v>7236</v>
      </c>
      <c r="C31" s="432" t="e">
        <f>'Part VI-Pro Forma'!H41-'Part VI-Pro Forma'!I41</f>
        <v>#VALUE!</v>
      </c>
      <c r="D31" s="432" t="e">
        <f>'Part VI-Pro Forma'!I41-'Part VI-Pro Forma'!J41</f>
        <v>#VALUE!</v>
      </c>
      <c r="E31" s="432" t="e">
        <f>'Part VI-Pro Forma'!J41-'Part VI-Pro Forma'!K41</f>
        <v>#VALUE!</v>
      </c>
      <c r="F31" s="702" t="e">
        <f>'Part VI-Pro Forma'!K41-'Part VI-Pro Forma'!B73</f>
        <v>#VALUE!</v>
      </c>
      <c r="G31" s="702" t="e">
        <f>'Part VI-Pro Forma'!B73-'Part VI-Pro Forma'!C73</f>
        <v>#VALUE!</v>
      </c>
      <c r="H31" s="702" t="e">
        <f>'Part VI-Pro Forma'!C73-'Part VI-Pro Forma'!D73</f>
        <v>#VALUE!</v>
      </c>
      <c r="I31" s="702" t="e">
        <f>'Part VI-Pro Forma'!D73-'Part VI-Pro Forma'!E73</f>
        <v>#VALUE!</v>
      </c>
      <c r="K31" s="366" t="s">
        <v>7021</v>
      </c>
      <c r="M31" s="366" t="s">
        <v>7255</v>
      </c>
      <c r="O31" s="430">
        <f>O25*O27</f>
        <v>-1028852.290909091</v>
      </c>
    </row>
    <row r="32" spans="1:17" ht="13.5" customHeight="1">
      <c r="A32" s="366" t="s">
        <v>7236</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7239</v>
      </c>
      <c r="B33" s="434"/>
      <c r="C33" s="705">
        <f>'Part VI-Pro Forma'!I23</f>
        <v>-22137.72957764766</v>
      </c>
      <c r="D33" s="705">
        <f>'Part VI-Pro Forma'!J23</f>
        <v>-22801.861464977086</v>
      </c>
      <c r="E33" s="705">
        <f>'Part VI-Pro Forma'!K23</f>
        <v>-23485.9173089264</v>
      </c>
      <c r="F33" s="705">
        <f>'Part VI-Pro Forma'!B55</f>
        <v>-24190.494828194191</v>
      </c>
      <c r="G33" s="705">
        <f>'Part VI-Pro Forma'!C55</f>
        <v>-24916.209673040019</v>
      </c>
      <c r="H33" s="705">
        <f>'Part VI-Pro Forma'!D55</f>
        <v>-25663.695963231214</v>
      </c>
      <c r="I33" s="705">
        <f>'Part VI-Pro Forma'!E55</f>
        <v>-26433.606842128149</v>
      </c>
      <c r="K33" s="366" t="s">
        <v>7021</v>
      </c>
      <c r="M33" s="366" t="s">
        <v>7256</v>
      </c>
      <c r="O33" s="430" t="e">
        <f>O14-O31</f>
        <v>#REF!</v>
      </c>
    </row>
    <row r="34" spans="1:15" ht="13.5" customHeight="1">
      <c r="A34" s="434" t="s">
        <v>7240</v>
      </c>
      <c r="B34" s="434"/>
      <c r="C34" s="705">
        <f>'Part VI-Pro Forma'!I32</f>
        <v>0</v>
      </c>
      <c r="D34" s="705">
        <f>'Part VI-Pro Forma'!J32</f>
        <v>0</v>
      </c>
      <c r="E34" s="705">
        <f>'Part VI-Pro Forma'!K32</f>
        <v>0</v>
      </c>
      <c r="F34" s="705">
        <f>'Part VI-Pro Forma'!B64</f>
        <v>0</v>
      </c>
      <c r="G34" s="705">
        <f>'Part VI-Pro Forma'!C64</f>
        <v>0</v>
      </c>
      <c r="H34" s="705">
        <f>'Part VI-Pro Forma'!D64</f>
        <v>0</v>
      </c>
      <c r="I34" s="705">
        <f>'Part VI-Pro Forma'!E64</f>
        <v>0</v>
      </c>
    </row>
    <row r="35" spans="1:15" ht="13.5" customHeight="1">
      <c r="A35" s="366" t="s">
        <v>7242</v>
      </c>
      <c r="C35" s="435">
        <f t="shared" ref="C35:I35" si="8">$E$3/$H$3</f>
        <v>685901.52727272722</v>
      </c>
      <c r="D35" s="435">
        <f t="shared" si="8"/>
        <v>685901.52727272722</v>
      </c>
      <c r="E35" s="435">
        <f t="shared" si="8"/>
        <v>685901.52727272722</v>
      </c>
      <c r="F35" s="435">
        <f t="shared" si="8"/>
        <v>685901.52727272722</v>
      </c>
      <c r="G35" s="435">
        <f t="shared" si="8"/>
        <v>685901.52727272722</v>
      </c>
      <c r="H35" s="435">
        <f t="shared" si="8"/>
        <v>685901.52727272722</v>
      </c>
      <c r="I35" s="435">
        <f t="shared" si="8"/>
        <v>685901.52727272722</v>
      </c>
    </row>
    <row r="36" spans="1:15" ht="13.5" customHeight="1">
      <c r="A36" s="366" t="s">
        <v>7243</v>
      </c>
      <c r="C36" s="430">
        <f>IF(C$28&lt;=$H$4,($E$4/$H$4),0)+IF(C$28&lt;=$H$5,($E$5/$H$5),0)</f>
        <v>14270.833333333334</v>
      </c>
      <c r="D36" s="430">
        <f t="shared" ref="D36:I36" si="9">IF(D$28&lt;=$H$4,($E$4/$H$4),0)+IF(D$28&lt;=$H$5,($E$5/$H$5),0)</f>
        <v>14270.833333333334</v>
      </c>
      <c r="E36" s="430">
        <f t="shared" si="9"/>
        <v>14270.833333333334</v>
      </c>
      <c r="F36" s="430">
        <f t="shared" si="9"/>
        <v>14270.833333333334</v>
      </c>
      <c r="G36" s="430">
        <f t="shared" si="9"/>
        <v>14270.833333333334</v>
      </c>
      <c r="H36" s="430">
        <f t="shared" si="9"/>
        <v>14270.833333333334</v>
      </c>
      <c r="I36" s="430">
        <f t="shared" si="9"/>
        <v>14270.833333333334</v>
      </c>
    </row>
    <row r="37" spans="1:15" ht="13.5" customHeight="1">
      <c r="A37" s="366" t="s">
        <v>7245</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7246</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7248</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7249</v>
      </c>
      <c r="C41" s="436">
        <f>C21</f>
        <v>1350000</v>
      </c>
      <c r="D41" s="436">
        <f>C41</f>
        <v>1350000</v>
      </c>
      <c r="E41" s="436">
        <f>D41</f>
        <v>1350000</v>
      </c>
      <c r="F41" s="436">
        <v>0</v>
      </c>
      <c r="G41" s="436">
        <v>0</v>
      </c>
      <c r="H41" s="436">
        <v>0</v>
      </c>
      <c r="I41" s="436">
        <v>0</v>
      </c>
    </row>
    <row r="42" spans="1:15" ht="13.5" customHeight="1">
      <c r="A42" s="366" t="s">
        <v>7250</v>
      </c>
      <c r="C42" s="436">
        <f>C22</f>
        <v>1350000</v>
      </c>
      <c r="D42" s="436">
        <f>C42</f>
        <v>1350000</v>
      </c>
      <c r="E42" s="436">
        <f>D42</f>
        <v>1350000</v>
      </c>
      <c r="F42" s="436">
        <v>0</v>
      </c>
      <c r="G42" s="436">
        <v>0</v>
      </c>
      <c r="H42" s="436">
        <v>0</v>
      </c>
      <c r="I42" s="436">
        <v>0</v>
      </c>
    </row>
    <row r="43" spans="1:15" ht="13.5" customHeight="1">
      <c r="A43" s="366" t="s">
        <v>7251</v>
      </c>
      <c r="C43" s="432">
        <v>0</v>
      </c>
      <c r="D43" s="432">
        <v>0</v>
      </c>
      <c r="E43" s="432">
        <v>0</v>
      </c>
      <c r="F43" s="432">
        <v>0</v>
      </c>
      <c r="G43" s="432">
        <v>0</v>
      </c>
      <c r="H43" s="432">
        <v>0</v>
      </c>
      <c r="I43" s="432">
        <v>0</v>
      </c>
    </row>
    <row r="44" spans="1:15" ht="13.5" customHeight="1">
      <c r="A44" s="366" t="s">
        <v>7224</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479</v>
      </c>
      <c r="B48" s="367"/>
      <c r="C48" s="429">
        <v>15</v>
      </c>
      <c r="D48" s="367">
        <v>16</v>
      </c>
      <c r="E48" s="367">
        <v>17</v>
      </c>
      <c r="F48" s="367">
        <v>18</v>
      </c>
      <c r="G48" s="367">
        <v>19</v>
      </c>
      <c r="H48" s="367">
        <v>20</v>
      </c>
    </row>
    <row r="49" spans="1:10" ht="13.5" customHeight="1">
      <c r="A49" s="366" t="s">
        <v>7234</v>
      </c>
      <c r="C49" s="430">
        <f>'Part VI-Pro Forma'!F65</f>
        <v>115002.54328765381</v>
      </c>
      <c r="D49" s="430">
        <f>'Part VI-Pro Forma'!G62</f>
        <v>0</v>
      </c>
      <c r="E49" s="430">
        <f>'Part VI-Pro Forma'!H62</f>
        <v>0</v>
      </c>
      <c r="F49" s="430">
        <f>'Part VI-Pro Forma'!I62</f>
        <v>0</v>
      </c>
      <c r="G49" s="430">
        <f>'Part VI-Pro Forma'!J62</f>
        <v>0</v>
      </c>
      <c r="H49" s="430">
        <f>'Part VI-Pro Forma'!K62</f>
        <v>0</v>
      </c>
    </row>
    <row r="50" spans="1:10" ht="13.5" customHeight="1">
      <c r="A50" s="366" t="s">
        <v>7236</v>
      </c>
      <c r="C50" s="703">
        <f>'Part VI-Pro Forma'!E72-'Part VI-Pro Forma'!F72</f>
        <v>50290.541727173608</v>
      </c>
      <c r="D50" s="703">
        <f>'Part VI-Pro Forma'!F72-'Part VI-Pro Forma'!G72</f>
        <v>54060.235111439135</v>
      </c>
      <c r="E50" s="703">
        <f>'Part VI-Pro Forma'!G72-'Part VI-Pro Forma'!H72</f>
        <v>58112.498293589335</v>
      </c>
      <c r="F50" s="703">
        <f>'Part VI-Pro Forma'!H72-'Part VI-Pro Forma'!I72</f>
        <v>62468.512224576436</v>
      </c>
      <c r="G50" s="703">
        <f>'Part VI-Pro Forma'!I72-'Part VI-Pro Forma'!J72</f>
        <v>67151.045543374028</v>
      </c>
      <c r="H50" s="703">
        <f>'Part VI-Pro Forma'!J72-'Part VI-Pro Forma'!K72</f>
        <v>72184.573587367311</v>
      </c>
    </row>
    <row r="51" spans="1:10" ht="13.5" customHeight="1">
      <c r="A51" s="366" t="s">
        <v>7236</v>
      </c>
      <c r="C51" s="703" t="e">
        <f>'Part VI-Pro Forma'!E73-'Part VI-Pro Forma'!F73</f>
        <v>#VALUE!</v>
      </c>
      <c r="D51" s="703" t="e">
        <f>'Part VI-Pro Forma'!F73-'Part VI-Pro Forma'!G73</f>
        <v>#VALUE!</v>
      </c>
      <c r="E51" s="703" t="e">
        <f>'Part VI-Pro Forma'!G73-'Part VI-Pro Forma'!H73</f>
        <v>#VALUE!</v>
      </c>
      <c r="F51" s="703" t="e">
        <f>'Part VI-Pro Forma'!H73-'Part VI-Pro Forma'!I73</f>
        <v>#VALUE!</v>
      </c>
      <c r="G51" s="703" t="e">
        <f>'Part VI-Pro Forma'!I73-'Part VI-Pro Forma'!J73</f>
        <v>#VALUE!</v>
      </c>
      <c r="H51" s="703" t="e">
        <f>'Part VI-Pro Forma'!J73-'Part VI-Pro Forma'!K73</f>
        <v>#VALUE!</v>
      </c>
    </row>
    <row r="52" spans="1:10" ht="13.5" customHeight="1">
      <c r="A52" s="366" t="s">
        <v>7236</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7239</v>
      </c>
      <c r="B53" s="434"/>
      <c r="C53" s="705">
        <f>'Part VI-Pro Forma'!F55</f>
        <v>-27226.615047391999</v>
      </c>
      <c r="D53" s="705">
        <f>'Part VI-Pro Forma'!G55</f>
        <v>-28043.413498813759</v>
      </c>
      <c r="E53" s="705">
        <f>'Part VI-Pro Forma'!H55</f>
        <v>-28884.715903778168</v>
      </c>
      <c r="F53" s="705">
        <f>'Part VI-Pro Forma'!I55</f>
        <v>-29751.257380891511</v>
      </c>
      <c r="G53" s="705">
        <f>'Part VI-Pro Forma'!J55</f>
        <v>-30643.795102318258</v>
      </c>
      <c r="H53" s="705">
        <f>'Part VI-Pro Forma'!K55</f>
        <v>-31563.108955387805</v>
      </c>
    </row>
    <row r="54" spans="1:10" ht="13.5" customHeight="1">
      <c r="A54" s="434" t="s">
        <v>7240</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7242</v>
      </c>
      <c r="C55" s="435">
        <f t="shared" ref="C55:H55" si="14">$E$3/$H$3</f>
        <v>685901.52727272722</v>
      </c>
      <c r="D55" s="435">
        <f t="shared" si="14"/>
        <v>685901.52727272722</v>
      </c>
      <c r="E55" s="435">
        <f t="shared" si="14"/>
        <v>685901.52727272722</v>
      </c>
      <c r="F55" s="435">
        <f t="shared" si="14"/>
        <v>685901.52727272722</v>
      </c>
      <c r="G55" s="435">
        <f t="shared" si="14"/>
        <v>685901.52727272722</v>
      </c>
      <c r="H55" s="435">
        <f t="shared" si="14"/>
        <v>685901.52727272722</v>
      </c>
    </row>
    <row r="56" spans="1:10" ht="13.5" customHeight="1">
      <c r="A56" s="366" t="s">
        <v>7243</v>
      </c>
      <c r="C56" s="430">
        <f t="shared" ref="C56:H56" si="15">IF(C$48&lt;=$H$4,($E$4/$H$4),0)+IF(C$48&lt;=$H$5,($E$5/$H$5),0)</f>
        <v>14270.833333333334</v>
      </c>
      <c r="D56" s="430">
        <f t="shared" si="15"/>
        <v>1537.5</v>
      </c>
      <c r="E56" s="430">
        <f t="shared" si="15"/>
        <v>1537.5</v>
      </c>
      <c r="F56" s="430">
        <f t="shared" si="15"/>
        <v>1537.5</v>
      </c>
      <c r="G56" s="430">
        <f t="shared" si="15"/>
        <v>1537.5</v>
      </c>
      <c r="H56" s="430">
        <f t="shared" si="15"/>
        <v>1537.5</v>
      </c>
    </row>
    <row r="57" spans="1:10" ht="13.5" customHeight="1">
      <c r="A57" s="366" t="s">
        <v>7245</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7246</v>
      </c>
      <c r="C58" s="435" t="e">
        <f t="shared" ref="C58:H58" si="17">C57*$H$6</f>
        <v>#VALUE!</v>
      </c>
      <c r="D58" s="435" t="e">
        <f t="shared" si="17"/>
        <v>#VALUE!</v>
      </c>
      <c r="E58" s="435" t="e">
        <f t="shared" si="17"/>
        <v>#VALUE!</v>
      </c>
      <c r="F58" s="435" t="e">
        <f t="shared" si="17"/>
        <v>#VALUE!</v>
      </c>
      <c r="G58" s="435" t="e">
        <f t="shared" si="17"/>
        <v>#VALUE!</v>
      </c>
      <c r="H58" s="435" t="e">
        <f t="shared" si="17"/>
        <v>#VALUE!</v>
      </c>
      <c r="J58" s="366" t="s">
        <v>7021</v>
      </c>
    </row>
    <row r="59" spans="1:10" s="441" customFormat="1" ht="16.5" customHeight="1">
      <c r="A59" s="366"/>
      <c r="B59" s="366"/>
      <c r="C59" s="430"/>
      <c r="D59" s="430"/>
      <c r="E59" s="430"/>
      <c r="F59" s="430"/>
      <c r="G59" s="430"/>
      <c r="H59" s="430"/>
      <c r="I59" s="366"/>
      <c r="J59" s="366"/>
    </row>
    <row r="60" spans="1:10">
      <c r="A60" s="366" t="s">
        <v>7248</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7249</v>
      </c>
      <c r="C61" s="435">
        <v>0</v>
      </c>
      <c r="D61" s="435">
        <v>0</v>
      </c>
      <c r="E61" s="435">
        <v>0</v>
      </c>
      <c r="F61" s="435">
        <v>0</v>
      </c>
      <c r="G61" s="435">
        <v>0</v>
      </c>
      <c r="H61" s="430">
        <v>0</v>
      </c>
    </row>
    <row r="62" spans="1:10">
      <c r="A62" s="366" t="s">
        <v>7250</v>
      </c>
      <c r="C62" s="435">
        <v>0</v>
      </c>
      <c r="D62" s="430">
        <v>0</v>
      </c>
      <c r="E62" s="430">
        <v>0</v>
      </c>
      <c r="F62" s="430">
        <v>0</v>
      </c>
      <c r="G62" s="430">
        <v>0</v>
      </c>
      <c r="H62" s="430">
        <v>0</v>
      </c>
    </row>
    <row r="63" spans="1:10">
      <c r="A63" s="366" t="s">
        <v>7251</v>
      </c>
      <c r="C63" s="430">
        <v>0</v>
      </c>
      <c r="D63" s="430">
        <v>0</v>
      </c>
      <c r="E63" s="430">
        <v>0</v>
      </c>
      <c r="F63" s="430">
        <v>0</v>
      </c>
      <c r="G63" s="430">
        <v>0</v>
      </c>
      <c r="H63" s="430" t="e">
        <f>O33</f>
        <v>#REF!</v>
      </c>
    </row>
    <row r="64" spans="1:10">
      <c r="A64" s="366" t="s">
        <v>7224</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ht="15">
      <c r="A66" s="2997"/>
      <c r="B66" s="2998"/>
      <c r="C66" s="2998"/>
      <c r="D66" s="2998"/>
      <c r="E66" s="2998"/>
      <c r="F66" s="2999" t="s">
        <v>7257</v>
      </c>
      <c r="G66" s="4925" t="e">
        <f>IRR(K5:K25)</f>
        <v>#VALUE!</v>
      </c>
      <c r="H66" s="4926"/>
      <c r="I66" s="441"/>
      <c r="J66" s="441"/>
    </row>
    <row r="548" ht="13.35" customHeight="1"/>
    <row r="549" ht="13.35" customHeight="1"/>
    <row r="631" ht="13.35" customHeight="1"/>
    <row r="638" ht="13.35" customHeight="1"/>
    <row r="667" ht="14.85"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85" customHeight="1"/>
    <row r="1803" ht="14.85" customHeight="1"/>
    <row r="1804" ht="14.85" customHeight="1"/>
    <row r="1805" ht="14.85" customHeight="1"/>
    <row r="1806" ht="14.85" customHeight="1"/>
    <row r="1807" ht="14.85" customHeight="1"/>
    <row r="1808" ht="14.85" customHeight="1"/>
    <row r="1809" ht="14.85" customHeight="1"/>
    <row r="1810" ht="14.85" customHeight="1"/>
    <row r="1811" ht="14.85"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140625" defaultRowHeight="12.75"/>
  <cols>
    <col min="1" max="1" width="6.42578125" style="306" customWidth="1"/>
    <col min="2" max="2" width="16.85546875" style="306" customWidth="1"/>
    <col min="3" max="3" width="4.85546875" style="306" customWidth="1"/>
    <col min="4" max="4" width="6.42578125" style="306" customWidth="1"/>
    <col min="5" max="5" width="16.85546875" style="306" customWidth="1"/>
    <col min="6" max="6" width="4.85546875" style="306" customWidth="1"/>
    <col min="7" max="7" width="6.42578125" style="306" customWidth="1"/>
    <col min="8" max="8" width="16.85546875" style="306" customWidth="1"/>
    <col min="9" max="9" width="4.85546875" style="306" customWidth="1"/>
    <col min="10" max="10" width="6.42578125" style="306" customWidth="1"/>
    <col min="11" max="11" width="16.85546875" style="306" customWidth="1"/>
    <col min="12" max="16384" width="9.140625" style="306"/>
  </cols>
  <sheetData>
    <row r="1" spans="1:11" s="313" customFormat="1" ht="17.850000000000001" customHeight="1">
      <c r="A1" s="4928" t="str">
        <f>'Sensitivity Analysis'!C8</f>
        <v>Westchester Village II</v>
      </c>
      <c r="B1" s="4928"/>
      <c r="C1" s="4928"/>
      <c r="D1" s="4928"/>
      <c r="E1" s="4928"/>
      <c r="F1" s="4928"/>
      <c r="G1" s="4928"/>
      <c r="H1" s="4928"/>
      <c r="I1" s="4928"/>
      <c r="J1" s="4928"/>
      <c r="K1" s="4928"/>
    </row>
    <row r="2" spans="1:11" s="313" customFormat="1" ht="17.850000000000001" customHeight="1">
      <c r="A2" s="4927" t="s">
        <v>7258</v>
      </c>
      <c r="B2" s="4927"/>
      <c r="C2" s="4927"/>
      <c r="D2" s="4927"/>
      <c r="E2" s="4927"/>
      <c r="F2" s="4927"/>
      <c r="G2" s="4927"/>
      <c r="H2" s="4927"/>
      <c r="I2" s="4927"/>
      <c r="J2" s="4927"/>
      <c r="K2" s="4927"/>
    </row>
    <row r="3" spans="1:11" ht="9" customHeight="1">
      <c r="A3" s="983"/>
      <c r="B3" s="983"/>
      <c r="C3" s="983"/>
      <c r="D3" s="983"/>
      <c r="E3" s="983"/>
      <c r="G3" s="983"/>
      <c r="H3" s="983"/>
      <c r="J3" s="983"/>
      <c r="K3" s="983"/>
    </row>
    <row r="4" spans="1:11" ht="12.6" customHeight="1">
      <c r="A4" s="4929" t="s">
        <v>7259</v>
      </c>
      <c r="B4" s="4929"/>
      <c r="C4" s="984"/>
      <c r="D4" s="4929" t="s">
        <v>7260</v>
      </c>
      <c r="E4" s="4929"/>
      <c r="F4" s="372"/>
      <c r="G4" s="4929" t="s">
        <v>7261</v>
      </c>
      <c r="H4" s="4929"/>
      <c r="I4" s="372"/>
      <c r="J4" s="4929" t="s">
        <v>7262</v>
      </c>
      <c r="K4" s="4929"/>
    </row>
    <row r="5" spans="1:11" ht="26.1" customHeight="1">
      <c r="A5" s="4930" t="str">
        <f>'Part II-Sources of Funds'!E42</f>
        <v>Sterling Bank</v>
      </c>
      <c r="B5" s="4931"/>
      <c r="C5" s="313"/>
      <c r="D5" s="4930">
        <f>'Part II-Sources of Funds'!E43</f>
        <v>0</v>
      </c>
      <c r="E5" s="4931"/>
      <c r="F5" s="985"/>
      <c r="G5" s="4930">
        <f>'Part II-Sources of Funds'!E44</f>
        <v>0</v>
      </c>
      <c r="H5" s="4931"/>
      <c r="I5" s="985"/>
      <c r="J5" s="4930">
        <f>'Part II-Sources of Funds'!E45</f>
        <v>0</v>
      </c>
      <c r="K5" s="4931"/>
    </row>
    <row r="6" spans="1:11" ht="9" customHeight="1"/>
    <row r="7" spans="1:11" ht="15.75">
      <c r="A7" s="2619"/>
      <c r="B7" s="2619" t="s">
        <v>7263</v>
      </c>
      <c r="D7" s="2619"/>
      <c r="E7" s="2619" t="s">
        <v>7263</v>
      </c>
      <c r="G7" s="2619"/>
      <c r="H7" s="2619" t="s">
        <v>7263</v>
      </c>
      <c r="J7" s="2619"/>
      <c r="K7" s="2619" t="s">
        <v>7263</v>
      </c>
    </row>
    <row r="8" spans="1:11" ht="15.75">
      <c r="A8" s="727" t="s">
        <v>479</v>
      </c>
      <c r="B8" s="727" t="s">
        <v>7264</v>
      </c>
      <c r="D8" s="727" t="s">
        <v>479</v>
      </c>
      <c r="E8" s="727" t="s">
        <v>7264</v>
      </c>
      <c r="G8" s="727" t="s">
        <v>479</v>
      </c>
      <c r="H8" s="727" t="s">
        <v>7264</v>
      </c>
      <c r="J8" s="727" t="s">
        <v>479</v>
      </c>
      <c r="K8" s="727" t="s">
        <v>7264</v>
      </c>
    </row>
    <row r="9" spans="1:11" ht="6" customHeight="1">
      <c r="A9" s="358"/>
      <c r="B9" s="358"/>
      <c r="D9" s="358"/>
      <c r="E9" s="358"/>
      <c r="G9" s="358"/>
      <c r="H9" s="358"/>
      <c r="J9" s="358"/>
      <c r="K9" s="358"/>
    </row>
    <row r="10" spans="1:11" ht="20.25" customHeight="1">
      <c r="A10" s="2620">
        <v>1</v>
      </c>
      <c r="B10" s="708">
        <f>-'Part VI-Pro Forma'!$B26/12</f>
        <v>26546.38474853984</v>
      </c>
      <c r="D10" s="2620">
        <v>1</v>
      </c>
      <c r="E10" s="708">
        <f>-'Part VI-Pro Forma'!$B27/12</f>
        <v>0</v>
      </c>
      <c r="G10" s="2620">
        <v>1</v>
      </c>
      <c r="H10" s="708">
        <f>-'Part VI-Pro Forma'!$B28/12</f>
        <v>0</v>
      </c>
      <c r="J10" s="2620">
        <v>1</v>
      </c>
      <c r="K10" s="708">
        <f>-'Part VI-Pro Forma'!$B29/12</f>
        <v>0</v>
      </c>
    </row>
    <row r="11" spans="1:11" ht="20.25" customHeight="1">
      <c r="A11" s="2620">
        <v>2</v>
      </c>
      <c r="B11" s="708">
        <f>-'Part VI-Pro Forma'!$C26/12</f>
        <v>26546.38474853984</v>
      </c>
      <c r="D11" s="2620">
        <v>2</v>
      </c>
      <c r="E11" s="708">
        <f>-'Part VI-Pro Forma'!$C27/12</f>
        <v>0</v>
      </c>
      <c r="G11" s="2620">
        <v>2</v>
      </c>
      <c r="H11" s="708">
        <f>-'Part VI-Pro Forma'!$C28/12</f>
        <v>0</v>
      </c>
      <c r="J11" s="2620">
        <v>2</v>
      </c>
      <c r="K11" s="708">
        <f>-'Part VI-Pro Forma'!$C29/12</f>
        <v>0</v>
      </c>
    </row>
    <row r="12" spans="1:11" ht="20.25" customHeight="1">
      <c r="A12" s="2620">
        <v>3</v>
      </c>
      <c r="B12" s="708">
        <f>-'Part VI-Pro Forma'!$D26/12</f>
        <v>26546.38474853984</v>
      </c>
      <c r="D12" s="2620">
        <v>3</v>
      </c>
      <c r="E12" s="708">
        <f>-'Part VI-Pro Forma'!$D27/12</f>
        <v>0</v>
      </c>
      <c r="G12" s="2620">
        <v>3</v>
      </c>
      <c r="H12" s="708">
        <f>-'Part VI-Pro Forma'!$D28/12</f>
        <v>0</v>
      </c>
      <c r="J12" s="2620">
        <v>3</v>
      </c>
      <c r="K12" s="708">
        <f>-'Part VI-Pro Forma'!$D29/12</f>
        <v>0</v>
      </c>
    </row>
    <row r="13" spans="1:11" ht="20.25" customHeight="1">
      <c r="A13" s="2620">
        <v>4</v>
      </c>
      <c r="B13" s="708">
        <f>-'Part VI-Pro Forma'!$E26/12</f>
        <v>26546.38474853984</v>
      </c>
      <c r="D13" s="2620">
        <v>4</v>
      </c>
      <c r="E13" s="708">
        <f>-'Part VI-Pro Forma'!$E27/12</f>
        <v>0</v>
      </c>
      <c r="G13" s="2620">
        <v>4</v>
      </c>
      <c r="H13" s="708">
        <f>-'Part VI-Pro Forma'!$E28/12</f>
        <v>0</v>
      </c>
      <c r="J13" s="2620">
        <v>4</v>
      </c>
      <c r="K13" s="708">
        <f>-'Part VI-Pro Forma'!$E29/12</f>
        <v>0</v>
      </c>
    </row>
    <row r="14" spans="1:11" ht="20.25" customHeight="1">
      <c r="A14" s="986">
        <v>5</v>
      </c>
      <c r="B14" s="987">
        <f>-'Part VI-Pro Forma'!$F26/12</f>
        <v>26546.38474853984</v>
      </c>
      <c r="D14" s="986">
        <v>5</v>
      </c>
      <c r="E14" s="987">
        <f>-'Part VI-Pro Forma'!$F27/12</f>
        <v>0</v>
      </c>
      <c r="G14" s="986">
        <v>5</v>
      </c>
      <c r="H14" s="987">
        <f>-'Part VI-Pro Forma'!$F28/12</f>
        <v>0</v>
      </c>
      <c r="J14" s="986">
        <v>5</v>
      </c>
      <c r="K14" s="987">
        <f>-'Part VI-Pro Forma'!$F29/12</f>
        <v>0</v>
      </c>
    </row>
    <row r="15" spans="1:11" ht="20.25" customHeight="1">
      <c r="A15" s="2620">
        <v>6</v>
      </c>
      <c r="B15" s="708">
        <f>-'Part VI-Pro Forma'!$G26/12</f>
        <v>26546.38474853984</v>
      </c>
      <c r="D15" s="2620">
        <v>6</v>
      </c>
      <c r="E15" s="708">
        <f>-'Part VI-Pro Forma'!$G27/12</f>
        <v>0</v>
      </c>
      <c r="G15" s="2620">
        <v>6</v>
      </c>
      <c r="H15" s="708">
        <f>-'Part VI-Pro Forma'!$G28/12</f>
        <v>0</v>
      </c>
      <c r="J15" s="2620">
        <v>6</v>
      </c>
      <c r="K15" s="708">
        <f>-'Part VI-Pro Forma'!$G29/12</f>
        <v>0</v>
      </c>
    </row>
    <row r="16" spans="1:11" ht="20.25" customHeight="1">
      <c r="A16" s="2620">
        <v>7</v>
      </c>
      <c r="B16" s="708">
        <f>-'Part VI-Pro Forma'!$H26/12</f>
        <v>26546.38474853984</v>
      </c>
      <c r="D16" s="2620">
        <v>7</v>
      </c>
      <c r="E16" s="708">
        <f>-'Part VI-Pro Forma'!$H27/12</f>
        <v>0</v>
      </c>
      <c r="G16" s="2620">
        <v>7</v>
      </c>
      <c r="H16" s="708">
        <f>-'Part VI-Pro Forma'!$H28/12</f>
        <v>0</v>
      </c>
      <c r="J16" s="2620">
        <v>7</v>
      </c>
      <c r="K16" s="708">
        <f>-'Part VI-Pro Forma'!$H29/12</f>
        <v>0</v>
      </c>
    </row>
    <row r="17" spans="1:11" ht="20.25" customHeight="1">
      <c r="A17" s="2620">
        <v>8</v>
      </c>
      <c r="B17" s="708">
        <f>-'Part VI-Pro Forma'!$I26/12</f>
        <v>26546.38474853984</v>
      </c>
      <c r="D17" s="2620">
        <v>8</v>
      </c>
      <c r="E17" s="708">
        <f>-'Part VI-Pro Forma'!$I27/12</f>
        <v>0</v>
      </c>
      <c r="G17" s="2620">
        <v>8</v>
      </c>
      <c r="H17" s="708">
        <f>-'Part VI-Pro Forma'!$I28/12</f>
        <v>0</v>
      </c>
      <c r="J17" s="2620">
        <v>8</v>
      </c>
      <c r="K17" s="708">
        <f>-'Part VI-Pro Forma'!$I29/12</f>
        <v>0</v>
      </c>
    </row>
    <row r="18" spans="1:11" ht="20.25" customHeight="1">
      <c r="A18" s="2620">
        <v>9</v>
      </c>
      <c r="B18" s="708">
        <f>-'Part VI-Pro Forma'!$J26/12</f>
        <v>26546.38474853984</v>
      </c>
      <c r="D18" s="2620">
        <v>9</v>
      </c>
      <c r="E18" s="708">
        <f>-'Part VI-Pro Forma'!$J27/12</f>
        <v>0</v>
      </c>
      <c r="G18" s="2620">
        <v>9</v>
      </c>
      <c r="H18" s="708">
        <f>-'Part VI-Pro Forma'!$J28/12</f>
        <v>0</v>
      </c>
      <c r="J18" s="2620">
        <v>9</v>
      </c>
      <c r="K18" s="708">
        <f>-'Part VI-Pro Forma'!$J29/12</f>
        <v>0</v>
      </c>
    </row>
    <row r="19" spans="1:11" ht="20.25" customHeight="1">
      <c r="A19" s="986">
        <v>10</v>
      </c>
      <c r="B19" s="987">
        <f>-'Part VI-Pro Forma'!$K26/12</f>
        <v>26546.38474853984</v>
      </c>
      <c r="D19" s="986">
        <v>10</v>
      </c>
      <c r="E19" s="987">
        <f>-'Part VI-Pro Forma'!$K27/12</f>
        <v>0</v>
      </c>
      <c r="G19" s="986">
        <v>10</v>
      </c>
      <c r="H19" s="987">
        <f>-'Part VI-Pro Forma'!$K28/12</f>
        <v>0</v>
      </c>
      <c r="J19" s="986">
        <v>10</v>
      </c>
      <c r="K19" s="987">
        <f>-'Part VI-Pro Forma'!$K29/12</f>
        <v>0</v>
      </c>
    </row>
    <row r="20" spans="1:11" ht="20.25" customHeight="1">
      <c r="A20" s="2620">
        <v>11</v>
      </c>
      <c r="B20" s="708">
        <f>-'Part VI-Pro Forma'!$B58/12</f>
        <v>26546.38474853984</v>
      </c>
      <c r="D20" s="2620">
        <v>11</v>
      </c>
      <c r="E20" s="708">
        <f>-'Part VI-Pro Forma'!$B59/12</f>
        <v>0</v>
      </c>
      <c r="G20" s="2620">
        <v>11</v>
      </c>
      <c r="H20" s="708">
        <f>-'Part VI-Pro Forma'!$B60/12</f>
        <v>0</v>
      </c>
      <c r="J20" s="2620">
        <v>11</v>
      </c>
      <c r="K20" s="708">
        <f>-'Part VI-Pro Forma'!$B61/12</f>
        <v>0</v>
      </c>
    </row>
    <row r="21" spans="1:11" ht="20.25" customHeight="1">
      <c r="A21" s="2620">
        <v>12</v>
      </c>
      <c r="B21" s="708">
        <f>-'Part VI-Pro Forma'!$C58/12</f>
        <v>26546.38474853984</v>
      </c>
      <c r="D21" s="2620">
        <v>12</v>
      </c>
      <c r="E21" s="708">
        <f>-'Part VI-Pro Forma'!$C59/12</f>
        <v>0</v>
      </c>
      <c r="G21" s="2620">
        <v>12</v>
      </c>
      <c r="H21" s="708">
        <f>-'Part VI-Pro Forma'!$C60/12</f>
        <v>0</v>
      </c>
      <c r="J21" s="2620">
        <v>12</v>
      </c>
      <c r="K21" s="708">
        <f>-'Part VI-Pro Forma'!$C61/12</f>
        <v>0</v>
      </c>
    </row>
    <row r="22" spans="1:11" ht="20.25" customHeight="1">
      <c r="A22" s="2620">
        <v>13</v>
      </c>
      <c r="B22" s="708">
        <f>-'Part VI-Pro Forma'!$D58/12</f>
        <v>26546.38474853984</v>
      </c>
      <c r="D22" s="2620">
        <v>13</v>
      </c>
      <c r="E22" s="708">
        <f>-'Part VI-Pro Forma'!$D59/12</f>
        <v>0</v>
      </c>
      <c r="G22" s="2620">
        <v>13</v>
      </c>
      <c r="H22" s="708">
        <f>-'Part VI-Pro Forma'!$D60/12</f>
        <v>0</v>
      </c>
      <c r="J22" s="2620">
        <v>13</v>
      </c>
      <c r="K22" s="708">
        <f>-'Part VI-Pro Forma'!$D61/12</f>
        <v>0</v>
      </c>
    </row>
    <row r="23" spans="1:11" ht="20.25" customHeight="1">
      <c r="A23" s="2620">
        <v>14</v>
      </c>
      <c r="B23" s="708">
        <f>-'Part VI-Pro Forma'!$E58/12</f>
        <v>26546.38474853984</v>
      </c>
      <c r="D23" s="2620">
        <v>14</v>
      </c>
      <c r="E23" s="708">
        <f>-'Part VI-Pro Forma'!$E59/12</f>
        <v>0</v>
      </c>
      <c r="G23" s="2620">
        <v>14</v>
      </c>
      <c r="H23" s="708">
        <f>-'Part VI-Pro Forma'!$E60/12</f>
        <v>0</v>
      </c>
      <c r="J23" s="2620">
        <v>14</v>
      </c>
      <c r="K23" s="708">
        <f>-'Part VI-Pro Forma'!$E61/12</f>
        <v>0</v>
      </c>
    </row>
    <row r="24" spans="1:11" ht="20.25" customHeight="1">
      <c r="A24" s="986">
        <v>15</v>
      </c>
      <c r="B24" s="987">
        <f>-'Part VI-Pro Forma'!$F58/12</f>
        <v>26546.38474853984</v>
      </c>
      <c r="D24" s="986">
        <v>15</v>
      </c>
      <c r="E24" s="987">
        <f>-'Part VI-Pro Forma'!$F59/12</f>
        <v>0</v>
      </c>
      <c r="G24" s="986">
        <v>15</v>
      </c>
      <c r="H24" s="987">
        <f>-'Part VI-Pro Forma'!$F60/12</f>
        <v>0</v>
      </c>
      <c r="J24" s="986">
        <v>15</v>
      </c>
      <c r="K24" s="987">
        <f>-'Part VI-Pro Forma'!$F61/12</f>
        <v>0</v>
      </c>
    </row>
    <row r="25" spans="1:11" ht="20.25" customHeight="1">
      <c r="A25" s="2620">
        <v>16</v>
      </c>
      <c r="B25" s="708">
        <f>-'Part VI-Pro Forma'!$G58/12</f>
        <v>26546.38474853984</v>
      </c>
      <c r="D25" s="2620">
        <v>16</v>
      </c>
      <c r="E25" s="708">
        <f>-'Part VI-Pro Forma'!$G59/12</f>
        <v>0</v>
      </c>
      <c r="G25" s="2620">
        <v>16</v>
      </c>
      <c r="H25" s="708">
        <f>-'Part VI-Pro Forma'!$G60/12</f>
        <v>0</v>
      </c>
      <c r="J25" s="2620">
        <v>16</v>
      </c>
      <c r="K25" s="708">
        <f>-'Part VI-Pro Forma'!$G61/12</f>
        <v>0</v>
      </c>
    </row>
    <row r="26" spans="1:11" ht="20.25" customHeight="1">
      <c r="A26" s="2620">
        <v>17</v>
      </c>
      <c r="B26" s="708">
        <f>-'Part VI-Pro Forma'!$H58/12</f>
        <v>26546.38474853984</v>
      </c>
      <c r="D26" s="2620">
        <v>17</v>
      </c>
      <c r="E26" s="708">
        <f>-'Part VI-Pro Forma'!$H59/12</f>
        <v>0</v>
      </c>
      <c r="G26" s="2620">
        <v>17</v>
      </c>
      <c r="H26" s="708">
        <f>-'Part VI-Pro Forma'!$H60/12</f>
        <v>0</v>
      </c>
      <c r="J26" s="2620">
        <v>17</v>
      </c>
      <c r="K26" s="708">
        <f>-'Part VI-Pro Forma'!$H61/12</f>
        <v>0</v>
      </c>
    </row>
    <row r="27" spans="1:11" ht="20.25" customHeight="1">
      <c r="A27" s="2620">
        <v>18</v>
      </c>
      <c r="B27" s="708">
        <f>-'Part VI-Pro Forma'!$I58/12</f>
        <v>26546.38474853984</v>
      </c>
      <c r="D27" s="2620">
        <v>18</v>
      </c>
      <c r="E27" s="708">
        <f>-'Part VI-Pro Forma'!$I59/12</f>
        <v>0</v>
      </c>
      <c r="G27" s="2620">
        <v>18</v>
      </c>
      <c r="H27" s="708">
        <f>-'Part VI-Pro Forma'!$I60/12</f>
        <v>0</v>
      </c>
      <c r="J27" s="2620">
        <v>18</v>
      </c>
      <c r="K27" s="708">
        <f>-'Part VI-Pro Forma'!$I61/12</f>
        <v>0</v>
      </c>
    </row>
    <row r="28" spans="1:11" ht="20.25" customHeight="1">
      <c r="A28" s="2620">
        <v>19</v>
      </c>
      <c r="B28" s="708">
        <f>-'Part VI-Pro Forma'!$J58/12</f>
        <v>26546.38474853984</v>
      </c>
      <c r="D28" s="2620">
        <v>19</v>
      </c>
      <c r="E28" s="708">
        <f>-'Part VI-Pro Forma'!$J59/12</f>
        <v>0</v>
      </c>
      <c r="G28" s="2620">
        <v>19</v>
      </c>
      <c r="H28" s="708">
        <f>-'Part VI-Pro Forma'!$J60/12</f>
        <v>0</v>
      </c>
      <c r="J28" s="2620">
        <v>19</v>
      </c>
      <c r="K28" s="708">
        <f>-'Part VI-Pro Forma'!$J61/12</f>
        <v>0</v>
      </c>
    </row>
    <row r="29" spans="1:11" ht="20.25" customHeight="1">
      <c r="A29" s="986">
        <v>20</v>
      </c>
      <c r="B29" s="987">
        <f>-'Part VI-Pro Forma'!$K58/12</f>
        <v>26546.38474853984</v>
      </c>
      <c r="D29" s="986">
        <v>20</v>
      </c>
      <c r="E29" s="987">
        <f>-'Part VI-Pro Forma'!$K59/12</f>
        <v>0</v>
      </c>
      <c r="G29" s="986">
        <v>20</v>
      </c>
      <c r="H29" s="987">
        <f>-'Part VI-Pro Forma'!$K60/12</f>
        <v>0</v>
      </c>
      <c r="J29" s="986">
        <v>20</v>
      </c>
      <c r="K29" s="987">
        <f>-'Part VI-Pro Forma'!$K61/12</f>
        <v>0</v>
      </c>
    </row>
    <row r="30" spans="1:11" ht="20.25" customHeight="1">
      <c r="A30" s="2620">
        <v>21</v>
      </c>
      <c r="B30" s="708">
        <f>-'Part VI-Pro Forma'!$B90/12</f>
        <v>26546.38474853984</v>
      </c>
      <c r="D30" s="2620">
        <v>21</v>
      </c>
      <c r="E30" s="708">
        <f>-'Part VI-Pro Forma'!$B91/12</f>
        <v>0</v>
      </c>
      <c r="G30" s="2620">
        <v>21</v>
      </c>
      <c r="H30" s="708">
        <f>-'Part VI-Pro Forma'!$B92/12</f>
        <v>0</v>
      </c>
      <c r="J30" s="2620">
        <v>21</v>
      </c>
      <c r="K30" s="708">
        <f>-'Part VI-Pro Forma'!$B93/12</f>
        <v>0</v>
      </c>
    </row>
    <row r="31" spans="1:11" ht="20.25" customHeight="1">
      <c r="A31" s="2620">
        <v>22</v>
      </c>
      <c r="B31" s="708">
        <f>-'Part VI-Pro Forma'!$C90/12</f>
        <v>26546.38474853984</v>
      </c>
      <c r="D31" s="2620">
        <v>22</v>
      </c>
      <c r="E31" s="708">
        <f>-'Part VI-Pro Forma'!$C91/12</f>
        <v>0</v>
      </c>
      <c r="G31" s="2620">
        <v>22</v>
      </c>
      <c r="H31" s="708">
        <f>-'Part VI-Pro Forma'!$C92/12</f>
        <v>0</v>
      </c>
      <c r="J31" s="2620">
        <v>22</v>
      </c>
      <c r="K31" s="708">
        <f>-'Part VI-Pro Forma'!$C93/12</f>
        <v>0</v>
      </c>
    </row>
    <row r="32" spans="1:11" ht="20.25" customHeight="1">
      <c r="A32" s="2620">
        <v>23</v>
      </c>
      <c r="B32" s="708">
        <f>-'Part VI-Pro Forma'!$D90/12</f>
        <v>26546.38474853984</v>
      </c>
      <c r="D32" s="2620">
        <v>23</v>
      </c>
      <c r="E32" s="708">
        <f>-'Part VI-Pro Forma'!$D91/12</f>
        <v>0</v>
      </c>
      <c r="G32" s="2620">
        <v>23</v>
      </c>
      <c r="H32" s="708">
        <f>-'Part VI-Pro Forma'!$D92/12</f>
        <v>0</v>
      </c>
      <c r="J32" s="2620">
        <v>23</v>
      </c>
      <c r="K32" s="708">
        <f>-'Part VI-Pro Forma'!$D93/12</f>
        <v>0</v>
      </c>
    </row>
    <row r="33" spans="1:11" ht="20.25" customHeight="1">
      <c r="A33" s="2620">
        <v>24</v>
      </c>
      <c r="B33" s="708">
        <f>-'Part VI-Pro Forma'!$E90/12</f>
        <v>26546.38474853984</v>
      </c>
      <c r="D33" s="2620">
        <v>24</v>
      </c>
      <c r="E33" s="708">
        <f>-'Part VI-Pro Forma'!$E91/12</f>
        <v>0</v>
      </c>
      <c r="G33" s="2620">
        <v>24</v>
      </c>
      <c r="H33" s="708">
        <f>-'Part VI-Pro Forma'!$E92/12</f>
        <v>0</v>
      </c>
      <c r="J33" s="2620">
        <v>24</v>
      </c>
      <c r="K33" s="708">
        <f>-'Part VI-Pro Forma'!$E93/12</f>
        <v>0</v>
      </c>
    </row>
    <row r="34" spans="1:11" ht="20.25" customHeight="1">
      <c r="A34" s="986">
        <v>25</v>
      </c>
      <c r="B34" s="987">
        <f>-'Part VI-Pro Forma'!$F90/12</f>
        <v>26546.38474853984</v>
      </c>
      <c r="D34" s="986">
        <v>25</v>
      </c>
      <c r="E34" s="987">
        <f>-'Part VI-Pro Forma'!$F91/12</f>
        <v>0</v>
      </c>
      <c r="G34" s="986">
        <v>25</v>
      </c>
      <c r="H34" s="987">
        <f>-'Part VI-Pro Forma'!$F92/12</f>
        <v>0</v>
      </c>
      <c r="J34" s="986">
        <v>25</v>
      </c>
      <c r="K34" s="987">
        <f>-'Part VI-Pro Forma'!$F93/12</f>
        <v>0</v>
      </c>
    </row>
    <row r="35" spans="1:11" ht="20.25" customHeight="1">
      <c r="A35" s="2620">
        <v>26</v>
      </c>
      <c r="B35" s="708">
        <f>-'Part VI-Pro Forma'!$G90/12</f>
        <v>26546.38474853984</v>
      </c>
      <c r="D35" s="2620">
        <v>26</v>
      </c>
      <c r="E35" s="708">
        <f>-'Part VI-Pro Forma'!$G91/12</f>
        <v>0</v>
      </c>
      <c r="G35" s="2620">
        <v>26</v>
      </c>
      <c r="H35" s="708">
        <f>-'Part VI-Pro Forma'!$G92/12</f>
        <v>0</v>
      </c>
      <c r="J35" s="2620">
        <v>26</v>
      </c>
      <c r="K35" s="708">
        <f>-'Part VI-Pro Forma'!$G93/12</f>
        <v>0</v>
      </c>
    </row>
    <row r="36" spans="1:11" ht="20.25" customHeight="1">
      <c r="A36" s="2620">
        <v>27</v>
      </c>
      <c r="B36" s="708">
        <f>-'Part VI-Pro Forma'!$H90/12</f>
        <v>26546.38474853984</v>
      </c>
      <c r="D36" s="2620">
        <v>27</v>
      </c>
      <c r="E36" s="708">
        <f>-'Part VI-Pro Forma'!$H91/12</f>
        <v>0</v>
      </c>
      <c r="G36" s="2620">
        <v>27</v>
      </c>
      <c r="H36" s="708">
        <f>-'Part VI-Pro Forma'!$H92/12</f>
        <v>0</v>
      </c>
      <c r="J36" s="2620">
        <v>27</v>
      </c>
      <c r="K36" s="708">
        <f>-'Part VI-Pro Forma'!$H93/12</f>
        <v>0</v>
      </c>
    </row>
    <row r="37" spans="1:11" ht="20.25" customHeight="1">
      <c r="A37" s="2620">
        <v>28</v>
      </c>
      <c r="B37" s="708">
        <f>-'Part VI-Pro Forma'!$I90/12</f>
        <v>26546.38474853984</v>
      </c>
      <c r="D37" s="2620">
        <v>28</v>
      </c>
      <c r="E37" s="708">
        <f>-'Part VI-Pro Forma'!$I91/12</f>
        <v>0</v>
      </c>
      <c r="G37" s="2620">
        <v>28</v>
      </c>
      <c r="H37" s="708">
        <f>-'Part VI-Pro Forma'!$I92/12</f>
        <v>0</v>
      </c>
      <c r="J37" s="2620">
        <v>28</v>
      </c>
      <c r="K37" s="708">
        <f>-'Part VI-Pro Forma'!$I93/12</f>
        <v>0</v>
      </c>
    </row>
    <row r="38" spans="1:11" ht="20.25" customHeight="1">
      <c r="A38" s="2620">
        <v>29</v>
      </c>
      <c r="B38" s="708">
        <f>-'Part VI-Pro Forma'!$J90/12</f>
        <v>26546.38474853984</v>
      </c>
      <c r="D38" s="2620">
        <v>29</v>
      </c>
      <c r="E38" s="708">
        <f>-'Part VI-Pro Forma'!$J91/12</f>
        <v>0</v>
      </c>
      <c r="G38" s="2620">
        <v>29</v>
      </c>
      <c r="H38" s="708">
        <f>-'Part VI-Pro Forma'!$J92/12</f>
        <v>0</v>
      </c>
      <c r="J38" s="2620">
        <v>29</v>
      </c>
      <c r="K38" s="708">
        <f>-'Part VI-Pro Forma'!$J93/12</f>
        <v>0</v>
      </c>
    </row>
    <row r="39" spans="1:11" ht="20.25" customHeight="1">
      <c r="A39" s="986">
        <v>30</v>
      </c>
      <c r="B39" s="987">
        <f>-'Part VI-Pro Forma'!$K90/12</f>
        <v>26546.38474853984</v>
      </c>
      <c r="D39" s="986">
        <v>30</v>
      </c>
      <c r="E39" s="987">
        <f>-'Part VI-Pro Forma'!$K91/12</f>
        <v>0</v>
      </c>
      <c r="G39" s="986">
        <v>30</v>
      </c>
      <c r="H39" s="987">
        <f>-'Part VI-Pro Forma'!$K92/12</f>
        <v>0</v>
      </c>
      <c r="J39" s="986">
        <v>30</v>
      </c>
      <c r="K39" s="987">
        <f>-'Part VI-Pro Forma'!$K93/12</f>
        <v>0</v>
      </c>
    </row>
    <row r="40" spans="1:11" ht="20.25" customHeight="1">
      <c r="A40" s="2620">
        <v>31</v>
      </c>
      <c r="B40" s="708">
        <f>-'Part VI-Pro Forma'!$B120/12</f>
        <v>26546.38474853984</v>
      </c>
      <c r="D40" s="2620">
        <v>31</v>
      </c>
      <c r="E40" s="708">
        <f>-'Part VI-Pro Forma'!$B121/12</f>
        <v>0</v>
      </c>
      <c r="G40" s="2620">
        <v>31</v>
      </c>
      <c r="H40" s="708">
        <f>-'Part VI-Pro Forma'!$B122/12</f>
        <v>0</v>
      </c>
      <c r="J40" s="2620">
        <v>31</v>
      </c>
      <c r="K40" s="708">
        <f>-'Part VI-Pro Forma'!$B123/12</f>
        <v>0</v>
      </c>
    </row>
    <row r="41" spans="1:11" ht="20.25" customHeight="1">
      <c r="A41" s="2620">
        <v>32</v>
      </c>
      <c r="B41" s="708">
        <f>-'Part VI-Pro Forma'!$C120/12</f>
        <v>26546.38474853984</v>
      </c>
      <c r="D41" s="2620">
        <v>32</v>
      </c>
      <c r="E41" s="708">
        <f>-'Part VI-Pro Forma'!$C121/12</f>
        <v>0</v>
      </c>
      <c r="G41" s="2620">
        <v>32</v>
      </c>
      <c r="H41" s="708">
        <f>-'Part VI-Pro Forma'!$C122/12</f>
        <v>0</v>
      </c>
      <c r="J41" s="2620">
        <v>32</v>
      </c>
      <c r="K41" s="708">
        <f>-'Part VI-Pro Forma'!$C123/12</f>
        <v>0</v>
      </c>
    </row>
    <row r="42" spans="1:11" ht="20.25" customHeight="1">
      <c r="A42" s="2620">
        <v>33</v>
      </c>
      <c r="B42" s="708">
        <f>-'Part VI-Pro Forma'!$D120/12</f>
        <v>26546.38474853984</v>
      </c>
      <c r="D42" s="2620">
        <v>33</v>
      </c>
      <c r="E42" s="708">
        <f>-'Part VI-Pro Forma'!$D121/12</f>
        <v>0</v>
      </c>
      <c r="G42" s="2620">
        <v>33</v>
      </c>
      <c r="H42" s="708">
        <f>-'Part VI-Pro Forma'!$D122/12</f>
        <v>0</v>
      </c>
      <c r="J42" s="2620">
        <v>33</v>
      </c>
      <c r="K42" s="708">
        <f>-'Part VI-Pro Forma'!$D123/12</f>
        <v>0</v>
      </c>
    </row>
    <row r="43" spans="1:11" ht="20.25" customHeight="1">
      <c r="A43" s="2620">
        <v>34</v>
      </c>
      <c r="B43" s="708">
        <f>-'Part VI-Pro Forma'!$E120/12</f>
        <v>26546.38474853984</v>
      </c>
      <c r="D43" s="2620">
        <v>34</v>
      </c>
      <c r="E43" s="708">
        <f>-'Part VI-Pro Forma'!$E121/12</f>
        <v>0</v>
      </c>
      <c r="G43" s="2620">
        <v>34</v>
      </c>
      <c r="H43" s="708">
        <f>-'Part VI-Pro Forma'!$E122/12</f>
        <v>0</v>
      </c>
      <c r="J43" s="2620">
        <v>34</v>
      </c>
      <c r="K43" s="708">
        <f>-'Part VI-Pro Forma'!$E123/12</f>
        <v>0</v>
      </c>
    </row>
    <row r="44" spans="1:11" ht="20.25" customHeight="1">
      <c r="A44" s="2620">
        <v>35</v>
      </c>
      <c r="B44" s="708">
        <f>-'Part VI-Pro Forma'!$F120/12</f>
        <v>26546.38474853984</v>
      </c>
      <c r="D44" s="2620">
        <v>35</v>
      </c>
      <c r="E44" s="708">
        <f>-'Part VI-Pro Forma'!$F121/12</f>
        <v>0</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5"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140625" defaultRowHeight="12.75"/>
  <cols>
    <col min="1" max="1" width="3" style="306" customWidth="1"/>
    <col min="2" max="2" width="0.85546875" style="306" customWidth="1"/>
    <col min="3" max="3" width="16.42578125" style="306" customWidth="1"/>
    <col min="4" max="4" width="18.140625" style="306" customWidth="1"/>
    <col min="5" max="5" width="16.42578125" style="306" customWidth="1"/>
    <col min="6" max="6" width="13.140625" style="306" customWidth="1"/>
    <col min="7" max="7" width="14.42578125" style="306" customWidth="1"/>
    <col min="8" max="8" width="5.85546875" style="306" customWidth="1"/>
    <col min="9" max="16384" width="9.140625" style="306"/>
  </cols>
  <sheetData>
    <row r="1" spans="1:11" ht="12" customHeight="1">
      <c r="A1" s="4934" t="str">
        <f>CONCATENATE('Sensitivity Analysis'!E8,"  ",'Sensitivity Analysis'!C8)</f>
        <v>2026-0xx  Westchester Village II</v>
      </c>
      <c r="B1" s="4934"/>
      <c r="C1" s="4934"/>
      <c r="D1" s="4934"/>
      <c r="E1" s="4934"/>
      <c r="F1" s="4934"/>
      <c r="G1" s="4934"/>
      <c r="H1" s="4934"/>
    </row>
    <row r="3" spans="1:11" ht="12" customHeight="1">
      <c r="A3" s="4935" t="s">
        <v>7265</v>
      </c>
      <c r="B3" s="4935"/>
      <c r="C3" s="4935"/>
      <c r="D3" s="4935"/>
      <c r="E3" s="4935"/>
      <c r="F3" s="4935"/>
      <c r="G3" s="4935"/>
      <c r="H3" s="4935"/>
      <c r="I3" s="740"/>
      <c r="J3" s="4937" t="s">
        <v>7266</v>
      </c>
      <c r="K3" s="4937"/>
    </row>
    <row r="4" spans="1:11">
      <c r="J4" s="4937"/>
      <c r="K4" s="4937"/>
    </row>
    <row r="5" spans="1:11" ht="12" customHeight="1">
      <c r="A5" s="306">
        <v>1</v>
      </c>
      <c r="C5" s="306" t="s">
        <v>7267</v>
      </c>
      <c r="E5" s="450">
        <f>'Sensitivity Analysis'!H9</f>
        <v>0</v>
      </c>
      <c r="J5" s="4937"/>
      <c r="K5" s="4937"/>
    </row>
    <row r="6" spans="1:11" ht="3" customHeight="1">
      <c r="H6" s="2631"/>
      <c r="J6" s="4937"/>
      <c r="K6" s="4937"/>
    </row>
    <row r="7" spans="1:11" ht="12" customHeight="1">
      <c r="A7" s="306">
        <v>2</v>
      </c>
      <c r="C7" s="306" t="s">
        <v>7268</v>
      </c>
      <c r="E7" s="4933"/>
      <c r="F7" s="4933"/>
      <c r="G7" s="4933"/>
      <c r="H7" s="4933"/>
      <c r="J7" s="4937"/>
      <c r="K7" s="4937"/>
    </row>
    <row r="8" spans="1:11" ht="12" customHeight="1">
      <c r="E8" s="4933"/>
      <c r="F8" s="4933"/>
      <c r="G8" s="4933"/>
      <c r="H8" s="4933"/>
      <c r="J8" s="4937"/>
      <c r="K8" s="4937"/>
    </row>
    <row r="9" spans="1:11" ht="12" customHeight="1">
      <c r="C9" s="306" t="s">
        <v>7269</v>
      </c>
      <c r="E9" s="4936"/>
      <c r="F9" s="4936"/>
      <c r="J9" s="4937"/>
      <c r="K9" s="4937"/>
    </row>
    <row r="10" spans="1:11" ht="12" customHeight="1">
      <c r="C10" s="306" t="s">
        <v>7270</v>
      </c>
      <c r="E10" s="4933"/>
      <c r="F10" s="4933"/>
      <c r="G10" s="4933"/>
      <c r="H10" s="4933"/>
    </row>
    <row r="11" spans="1:11" ht="12" customHeight="1">
      <c r="C11" s="306" t="s">
        <v>7271</v>
      </c>
      <c r="E11" s="4933"/>
      <c r="F11" s="4933"/>
      <c r="G11" s="4933"/>
      <c r="H11" s="4933"/>
    </row>
    <row r="12" spans="1:11" ht="12" customHeight="1">
      <c r="C12" s="306" t="s">
        <v>7272</v>
      </c>
      <c r="E12" s="2634"/>
    </row>
    <row r="13" spans="1:11" ht="12" customHeight="1">
      <c r="C13" s="306" t="s">
        <v>7273</v>
      </c>
      <c r="E13" s="2634"/>
    </row>
    <row r="14" spans="1:11" ht="3" customHeight="1"/>
    <row r="15" spans="1:11" ht="12" customHeight="1">
      <c r="A15" s="306">
        <v>3</v>
      </c>
      <c r="C15" s="306" t="s">
        <v>7274</v>
      </c>
      <c r="E15" s="450" t="str">
        <f>'Sensitivity Analysis'!C8</f>
        <v>Westchester Village II</v>
      </c>
    </row>
    <row r="16" spans="1:11" ht="12" customHeight="1">
      <c r="C16" s="306" t="s">
        <v>7275</v>
      </c>
      <c r="E16" s="4933"/>
      <c r="F16" s="4933"/>
      <c r="G16" s="4933"/>
      <c r="H16" s="4933"/>
    </row>
    <row r="17" spans="1:8" ht="12" customHeight="1">
      <c r="E17" s="312" t="str">
        <f>'Part I-Project Identification'!F28</f>
        <v>Jonesboro</v>
      </c>
      <c r="F17" s="442" t="s">
        <v>299</v>
      </c>
      <c r="G17" s="4932" t="s">
        <v>7276</v>
      </c>
      <c r="H17" s="4932"/>
    </row>
    <row r="18" spans="1:8" ht="12" customHeight="1">
      <c r="E18" s="450" t="str">
        <f>'Part I-Project Identification'!J28</f>
        <v>Clayton</v>
      </c>
    </row>
    <row r="19" spans="1:8" ht="3" customHeight="1"/>
    <row r="20" spans="1:8" ht="12" customHeight="1">
      <c r="A20" s="306">
        <v>4</v>
      </c>
      <c r="C20" s="306" t="s">
        <v>7277</v>
      </c>
      <c r="E20" s="4933"/>
      <c r="F20" s="4933"/>
      <c r="G20" s="4933"/>
      <c r="H20" s="4933"/>
    </row>
    <row r="21" spans="1:8" ht="12" customHeight="1">
      <c r="C21" s="306" t="s">
        <v>7278</v>
      </c>
      <c r="E21" s="4933"/>
      <c r="F21" s="4933"/>
      <c r="G21" s="4933"/>
      <c r="H21" s="4933"/>
    </row>
    <row r="22" spans="1:8" ht="12" customHeight="1">
      <c r="E22" s="4933"/>
      <c r="F22" s="4933"/>
      <c r="G22" s="4933"/>
      <c r="H22" s="4933"/>
    </row>
    <row r="23" spans="1:8" ht="12" customHeight="1">
      <c r="C23" s="306" t="s">
        <v>7272</v>
      </c>
      <c r="E23" s="2634"/>
    </row>
    <row r="24" spans="1:8" ht="12" customHeight="1">
      <c r="C24" s="306" t="s">
        <v>7273</v>
      </c>
      <c r="E24" s="2634"/>
    </row>
    <row r="25" spans="1:8" ht="12" customHeight="1">
      <c r="C25" s="306" t="s">
        <v>7271</v>
      </c>
      <c r="E25" s="4933"/>
      <c r="F25" s="4933"/>
      <c r="G25" s="4933"/>
      <c r="H25" s="4933"/>
    </row>
    <row r="26" spans="1:8" ht="3" customHeight="1">
      <c r="E26" s="450"/>
    </row>
    <row r="27" spans="1:8" ht="12" customHeight="1">
      <c r="A27" s="306">
        <v>5</v>
      </c>
      <c r="C27" s="306" t="s">
        <v>7279</v>
      </c>
      <c r="E27" s="450" t="str">
        <f>'Sensitivity Analysis'!$H$7</f>
        <v>New Construction</v>
      </c>
    </row>
    <row r="28" spans="1:8" ht="12" customHeight="1">
      <c r="E28" s="450" t="str">
        <f>'Part I-Project Identification'!F12</f>
        <v>9% Credits</v>
      </c>
    </row>
    <row r="29" spans="1:8" ht="12" customHeight="1">
      <c r="C29" s="306" t="s">
        <v>7280</v>
      </c>
      <c r="E29" s="306" t="str">
        <f>'Sensitivity Analysis'!$C$9</f>
        <v>&lt;&lt;Select&gt;&gt;</v>
      </c>
    </row>
    <row r="30" spans="1:8" ht="3" customHeight="1"/>
    <row r="31" spans="1:8" ht="12" customHeight="1">
      <c r="A31" s="306">
        <v>6</v>
      </c>
      <c r="C31" s="306" t="s">
        <v>7281</v>
      </c>
      <c r="E31" s="306" t="s">
        <v>4670</v>
      </c>
      <c r="F31" s="741">
        <f>'Part II-Sources of Funds'!L24</f>
        <v>16610244</v>
      </c>
      <c r="G31" s="306" t="s">
        <v>7282</v>
      </c>
    </row>
    <row r="32" spans="1:8" ht="12" customHeight="1">
      <c r="F32" s="741" t="s">
        <v>7283</v>
      </c>
      <c r="G32" s="306" t="s">
        <v>7284</v>
      </c>
    </row>
    <row r="33" spans="1:8" ht="3" customHeight="1">
      <c r="F33" s="446"/>
    </row>
    <row r="34" spans="1:8" ht="12" customHeight="1">
      <c r="A34" s="306">
        <v>7</v>
      </c>
      <c r="C34" s="306" t="s">
        <v>7285</v>
      </c>
      <c r="F34" s="742">
        <v>0</v>
      </c>
    </row>
    <row r="35" spans="1:8" ht="3" customHeight="1">
      <c r="F35" s="446"/>
    </row>
    <row r="36" spans="1:8" ht="12" customHeight="1">
      <c r="A36" s="306">
        <v>8</v>
      </c>
      <c r="C36" s="306" t="s">
        <v>7286</v>
      </c>
      <c r="E36" s="306" t="s">
        <v>4670</v>
      </c>
      <c r="F36" s="743">
        <v>0.01</v>
      </c>
    </row>
    <row r="37" spans="1:8" ht="3" customHeight="1">
      <c r="F37" s="742"/>
    </row>
    <row r="38" spans="1:8" ht="12" customHeight="1">
      <c r="A38" s="306">
        <v>9</v>
      </c>
      <c r="C38" s="306" t="s">
        <v>7287</v>
      </c>
      <c r="F38" s="744">
        <v>24</v>
      </c>
      <c r="G38" s="306" t="s">
        <v>7288</v>
      </c>
    </row>
    <row r="39" spans="1:8" ht="3" customHeight="1">
      <c r="F39" s="742"/>
    </row>
    <row r="40" spans="1:8" ht="12" customHeight="1">
      <c r="A40" s="306">
        <v>10</v>
      </c>
      <c r="C40" s="306" t="s">
        <v>7289</v>
      </c>
      <c r="E40" s="306" t="s">
        <v>4670</v>
      </c>
      <c r="F40" s="446">
        <f>'Part II-Sources of Funds'!L42*12</f>
        <v>216</v>
      </c>
      <c r="G40" s="306" t="s">
        <v>7288</v>
      </c>
    </row>
    <row r="41" spans="1:8" ht="3" customHeight="1">
      <c r="F41" s="446"/>
    </row>
    <row r="42" spans="1:8" ht="12" customHeight="1">
      <c r="A42" s="306">
        <v>11</v>
      </c>
      <c r="C42" s="306" t="s">
        <v>7290</v>
      </c>
      <c r="F42" s="745">
        <v>24</v>
      </c>
      <c r="G42" s="306" t="s">
        <v>7288</v>
      </c>
    </row>
    <row r="43" spans="1:8" ht="3" customHeight="1"/>
    <row r="44" spans="1:8" ht="12" customHeight="1">
      <c r="A44" s="306">
        <v>12</v>
      </c>
      <c r="C44" s="306" t="s">
        <v>7291</v>
      </c>
      <c r="F44" s="746" t="s">
        <v>7292</v>
      </c>
    </row>
    <row r="45" spans="1:8" ht="3" customHeight="1"/>
    <row r="46" spans="1:8" ht="12" customHeight="1">
      <c r="A46" s="306">
        <v>13</v>
      </c>
      <c r="C46" s="306" t="s">
        <v>7293</v>
      </c>
      <c r="E46" s="306" t="s">
        <v>4670</v>
      </c>
      <c r="F46" s="450" t="s">
        <v>7294</v>
      </c>
    </row>
    <row r="47" spans="1:8" ht="3" customHeight="1">
      <c r="F47" s="2631"/>
    </row>
    <row r="48" spans="1:8" ht="12" customHeight="1">
      <c r="A48" s="306">
        <v>14</v>
      </c>
      <c r="C48" s="306" t="s">
        <v>7295</v>
      </c>
      <c r="E48" s="4933"/>
      <c r="F48" s="4933"/>
      <c r="G48" s="4933"/>
      <c r="H48" s="4933"/>
    </row>
    <row r="49" spans="1:8" ht="3" customHeight="1">
      <c r="E49" s="450"/>
    </row>
    <row r="50" spans="1:8" ht="12" customHeight="1">
      <c r="A50" s="306">
        <v>15</v>
      </c>
      <c r="C50" s="306" t="s">
        <v>7296</v>
      </c>
      <c r="E50" s="4933"/>
      <c r="F50" s="4933"/>
      <c r="G50" s="4933"/>
      <c r="H50" s="4933"/>
    </row>
    <row r="51" spans="1:8" ht="12" customHeight="1">
      <c r="C51" s="306" t="s">
        <v>7297</v>
      </c>
      <c r="E51" s="4933"/>
      <c r="F51" s="4933"/>
      <c r="G51" s="4933"/>
      <c r="H51" s="4933"/>
    </row>
    <row r="52" spans="1:8" ht="3" customHeight="1">
      <c r="F52" s="446"/>
    </row>
    <row r="53" spans="1:8" ht="12" customHeight="1">
      <c r="A53" s="306">
        <v>16</v>
      </c>
      <c r="C53" s="306" t="s">
        <v>7298</v>
      </c>
      <c r="F53" s="745">
        <f>'Part V-Revenues &amp; Expenses'!E58</f>
        <v>60</v>
      </c>
    </row>
    <row r="54" spans="1:8" ht="3" customHeight="1">
      <c r="F54" s="446"/>
    </row>
    <row r="55" spans="1:8" ht="12" customHeight="1">
      <c r="A55" s="306">
        <v>17</v>
      </c>
      <c r="C55" s="306" t="s">
        <v>7299</v>
      </c>
      <c r="F55" s="747">
        <f>ProrationMethodCostAllocatnDCA!D64</f>
        <v>0</v>
      </c>
    </row>
    <row r="56" spans="1:8" ht="3" customHeight="1">
      <c r="F56" s="446"/>
    </row>
    <row r="57" spans="1:8" ht="12" customHeight="1">
      <c r="A57" s="306">
        <v>18</v>
      </c>
      <c r="C57" s="306" t="s">
        <v>7300</v>
      </c>
      <c r="F57" s="747">
        <f>'Part V-Revenues &amp; Expenses'!P75</f>
        <v>0</v>
      </c>
      <c r="G57" s="306" t="s">
        <v>7301</v>
      </c>
    </row>
    <row r="58" spans="1:8" ht="3" customHeight="1">
      <c r="F58" s="446"/>
    </row>
    <row r="59" spans="1:8" ht="12" customHeight="1">
      <c r="A59" s="306">
        <v>19</v>
      </c>
      <c r="C59" s="306" t="s">
        <v>7302</v>
      </c>
      <c r="F59" s="1041">
        <f>'Part VII-Threshold Criteria OLD'!$P$44</f>
        <v>0</v>
      </c>
      <c r="G59" s="306" t="s">
        <v>7303</v>
      </c>
    </row>
    <row r="60" spans="1:8" ht="3" customHeight="1">
      <c r="F60" s="446"/>
    </row>
    <row r="61" spans="1:8" ht="12" customHeight="1">
      <c r="A61" s="306">
        <v>20</v>
      </c>
      <c r="C61" s="306" t="s">
        <v>7304</v>
      </c>
      <c r="F61" s="748">
        <f>'Subsidy Layering Memo'!$L$70</f>
        <v>3358703.3582890108</v>
      </c>
    </row>
    <row r="62" spans="1:8" ht="3" customHeight="1"/>
    <row r="63" spans="1:8" ht="12" customHeight="1">
      <c r="A63" s="306">
        <v>21</v>
      </c>
      <c r="C63" s="306" t="s">
        <v>7305</v>
      </c>
      <c r="E63" s="749" t="s">
        <v>7306</v>
      </c>
      <c r="F63" s="750" t="s">
        <v>7307</v>
      </c>
      <c r="G63" s="749" t="s">
        <v>7308</v>
      </c>
    </row>
    <row r="64" spans="1:8" ht="12" customHeight="1">
      <c r="E64" s="749" t="s">
        <v>7306</v>
      </c>
      <c r="F64" s="750" t="s">
        <v>7307</v>
      </c>
      <c r="G64" s="749" t="s">
        <v>7309</v>
      </c>
    </row>
    <row r="65" spans="1:7" ht="12" customHeight="1">
      <c r="E65" s="749" t="s">
        <v>7306</v>
      </c>
      <c r="F65" s="750" t="s">
        <v>7307</v>
      </c>
      <c r="G65" s="749" t="s">
        <v>7310</v>
      </c>
    </row>
    <row r="66" spans="1:7" ht="12" customHeight="1">
      <c r="E66" s="749" t="s">
        <v>7306</v>
      </c>
      <c r="F66" s="750" t="s">
        <v>7307</v>
      </c>
      <c r="G66" s="749" t="s">
        <v>7311</v>
      </c>
    </row>
    <row r="67" spans="1:7" ht="3" customHeight="1"/>
    <row r="68" spans="1:7" ht="12" customHeight="1">
      <c r="A68" s="306">
        <v>22</v>
      </c>
      <c r="C68" s="306" t="s">
        <v>7312</v>
      </c>
      <c r="E68" s="450">
        <f>'Sensitivity Analysis'!H9</f>
        <v>0</v>
      </c>
    </row>
    <row r="69" spans="1:7" ht="3" customHeight="1"/>
    <row r="70" spans="1:7" ht="12" customHeight="1">
      <c r="A70" s="306">
        <v>23</v>
      </c>
      <c r="C70" s="306" t="s">
        <v>7313</v>
      </c>
      <c r="F70" s="446" t="s">
        <v>7314</v>
      </c>
    </row>
    <row r="71" spans="1:7" ht="3" customHeight="1"/>
    <row r="72" spans="1:7" ht="12" customHeight="1">
      <c r="A72" s="306">
        <v>24</v>
      </c>
      <c r="C72" s="306" t="s">
        <v>7315</v>
      </c>
      <c r="E72" s="306" t="s">
        <v>4670</v>
      </c>
      <c r="F72" s="446">
        <v>20</v>
      </c>
      <c r="G72" s="306" t="s">
        <v>497</v>
      </c>
    </row>
    <row r="73" spans="1:7" ht="3" customHeight="1"/>
    <row r="74" spans="1:7" ht="12" customHeight="1">
      <c r="A74" s="306">
        <v>25</v>
      </c>
      <c r="C74" s="306" t="s">
        <v>7316</v>
      </c>
      <c r="F74" s="751">
        <f>'Part III-A-Uses of Funds'!$G$131</f>
        <v>339409</v>
      </c>
    </row>
    <row r="75" spans="1:7" ht="3" customHeight="1">
      <c r="F75" s="751"/>
    </row>
    <row r="76" spans="1:7" ht="12" customHeight="1">
      <c r="A76" s="306">
        <v>26</v>
      </c>
      <c r="C76" s="306" t="s">
        <v>7317</v>
      </c>
      <c r="F76" s="751">
        <f>'Part III-A-Uses of Funds'!$G$133</f>
        <v>0</v>
      </c>
    </row>
    <row r="77" spans="1:7" ht="3" customHeight="1">
      <c r="F77" s="751"/>
    </row>
    <row r="78" spans="1:7" ht="12" customHeight="1">
      <c r="A78" s="306">
        <v>27</v>
      </c>
      <c r="C78" s="306" t="s">
        <v>7318</v>
      </c>
      <c r="F78" s="751">
        <f>'Part III-A-Uses of Funds'!$G$130</f>
        <v>90065</v>
      </c>
    </row>
    <row r="79" spans="1:7" ht="3" customHeight="1">
      <c r="F79" s="751"/>
    </row>
    <row r="80" spans="1:7" ht="12" customHeight="1">
      <c r="A80" s="306">
        <v>28</v>
      </c>
      <c r="C80" s="306" t="s">
        <v>7319</v>
      </c>
      <c r="F80" s="752"/>
    </row>
  </sheetData>
  <sheetProtection algorithmName="SHA-512" hashValue="nixBVUb422d0/t+NAUBFsAUWGa95CldZkf6fWUQydjc1mRYGqoOEGo8XTTGp4ttgSjFrPqhfuC+MXwY/kZHlZw==" saltValue="97QD3PPkdGHeAXSWVnKe+w==" spinCount="100000" sheet="1" objects="1" scenarios="1"/>
  <mergeCells count="17">
    <mergeCell ref="A1:H1"/>
    <mergeCell ref="A3:H3"/>
    <mergeCell ref="E9:F9"/>
    <mergeCell ref="J3:K9"/>
    <mergeCell ref="E16:H16"/>
    <mergeCell ref="E7:H7"/>
    <mergeCell ref="E8:H8"/>
    <mergeCell ref="E11:H11"/>
    <mergeCell ref="E10:H10"/>
    <mergeCell ref="G17:H17"/>
    <mergeCell ref="E48:H48"/>
    <mergeCell ref="E50:H50"/>
    <mergeCell ref="E51:H51"/>
    <mergeCell ref="E20:H20"/>
    <mergeCell ref="E21:H21"/>
    <mergeCell ref="E22:H22"/>
    <mergeCell ref="E25:H25"/>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140625" defaultRowHeight="12.75"/>
  <cols>
    <col min="1" max="1" width="23.5703125" style="306" customWidth="1"/>
    <col min="2" max="2" width="11" style="306" customWidth="1"/>
    <col min="3" max="3" width="31" style="306" customWidth="1"/>
    <col min="4" max="4" width="14" style="306" customWidth="1"/>
    <col min="5" max="10" width="11.140625" style="306" customWidth="1"/>
    <col min="11" max="16384" width="9.140625" style="306"/>
  </cols>
  <sheetData>
    <row r="1" spans="1:13" ht="15">
      <c r="A1" s="4948" t="s">
        <v>7320</v>
      </c>
      <c r="B1" s="4948"/>
      <c r="C1" s="4948"/>
      <c r="D1" s="4948"/>
      <c r="E1" s="4948"/>
      <c r="F1" s="4948"/>
      <c r="G1" s="4948"/>
      <c r="H1" s="4948"/>
      <c r="I1" s="4948"/>
      <c r="J1" s="4948"/>
    </row>
    <row r="2" spans="1:13" ht="15">
      <c r="A2" s="4948" t="str">
        <f>'Sensitivity Analysis'!E8&amp;"  "&amp;'Sensitivity Analysis'!C8</f>
        <v>2026-0xx  Westchester Village II</v>
      </c>
      <c r="B2" s="4948"/>
      <c r="C2" s="4948"/>
      <c r="D2" s="4948"/>
      <c r="E2" s="4948"/>
      <c r="F2" s="4948"/>
      <c r="G2" s="4948"/>
      <c r="H2" s="4948"/>
      <c r="I2" s="4948"/>
      <c r="J2" s="4948"/>
    </row>
    <row r="3" spans="1:13" ht="6" customHeight="1">
      <c r="K3" s="4937" t="s">
        <v>7266</v>
      </c>
      <c r="L3" s="4937"/>
      <c r="M3" s="4937"/>
    </row>
    <row r="4" spans="1:13" ht="12" customHeight="1">
      <c r="A4" s="444" t="s">
        <v>7321</v>
      </c>
      <c r="K4" s="4937"/>
      <c r="L4" s="4937"/>
      <c r="M4" s="4937"/>
    </row>
    <row r="5" spans="1:13" ht="12" customHeight="1">
      <c r="A5" s="306" t="s">
        <v>7322</v>
      </c>
      <c r="C5" s="401" t="str">
        <f>'Subsidy Layering Memo'!D6</f>
        <v>(Underwriter)</v>
      </c>
      <c r="I5" s="401"/>
      <c r="K5" s="4937"/>
      <c r="L5" s="4937"/>
      <c r="M5" s="4937"/>
    </row>
    <row r="6" spans="1:13" ht="6" customHeight="1">
      <c r="C6" s="401"/>
      <c r="D6" s="401"/>
      <c r="I6" s="401"/>
      <c r="K6" s="4937"/>
      <c r="L6" s="4937"/>
      <c r="M6" s="4937"/>
    </row>
    <row r="7" spans="1:13" ht="12" customHeight="1">
      <c r="A7" s="444" t="s">
        <v>7323</v>
      </c>
      <c r="C7" s="401"/>
      <c r="D7" s="401"/>
      <c r="I7" s="401"/>
      <c r="K7" s="4937"/>
      <c r="L7" s="4937"/>
      <c r="M7" s="4937"/>
    </row>
    <row r="8" spans="1:13" ht="12" customHeight="1">
      <c r="A8" s="306" t="s">
        <v>7324</v>
      </c>
      <c r="C8" s="401">
        <f>'Sensitivity Analysis'!$H$9</f>
        <v>0</v>
      </c>
      <c r="I8" s="401"/>
      <c r="K8" s="4937"/>
      <c r="L8" s="4937"/>
      <c r="M8" s="4937"/>
    </row>
    <row r="9" spans="1:13" ht="3" customHeight="1">
      <c r="C9" s="401"/>
      <c r="D9" s="401"/>
      <c r="I9" s="401"/>
    </row>
    <row r="10" spans="1:13" ht="12" customHeight="1">
      <c r="A10" s="306" t="s">
        <v>7325</v>
      </c>
      <c r="C10" s="710" t="s">
        <v>720</v>
      </c>
      <c r="I10" s="401"/>
    </row>
    <row r="11" spans="1:13" ht="12" customHeight="1">
      <c r="C11" s="710" t="s">
        <v>720</v>
      </c>
      <c r="I11" s="401"/>
    </row>
    <row r="12" spans="1:13" ht="12" customHeight="1">
      <c r="C12" s="401" t="s">
        <v>2067</v>
      </c>
      <c r="D12" s="456" t="s">
        <v>720</v>
      </c>
      <c r="I12" s="401"/>
    </row>
    <row r="13" spans="1:13" ht="12" customHeight="1">
      <c r="C13" s="401" t="s">
        <v>7326</v>
      </c>
      <c r="D13" s="4938"/>
      <c r="E13" s="4938"/>
      <c r="F13" s="4938"/>
      <c r="G13" s="4938"/>
      <c r="H13" s="4938"/>
      <c r="I13" s="4938"/>
      <c r="J13" s="4938"/>
    </row>
    <row r="14" spans="1:13" ht="3" customHeight="1">
      <c r="G14" s="401"/>
      <c r="H14" s="401"/>
      <c r="I14" s="401"/>
    </row>
    <row r="15" spans="1:13" ht="12" customHeight="1">
      <c r="A15" s="306" t="s">
        <v>7327</v>
      </c>
      <c r="C15" s="445">
        <f>'Preview Term'!E10</f>
        <v>0</v>
      </c>
      <c r="G15" s="401"/>
      <c r="I15" s="401"/>
    </row>
    <row r="16" spans="1:13" ht="12" customHeight="1">
      <c r="A16" s="450" t="s">
        <v>7328</v>
      </c>
      <c r="C16" s="445">
        <f>'Part II-Development Team'!Q7</f>
        <v>0</v>
      </c>
      <c r="G16" s="401"/>
      <c r="I16" s="401"/>
    </row>
    <row r="17" spans="1:9" ht="3" customHeight="1">
      <c r="G17" s="401"/>
      <c r="H17" s="401"/>
      <c r="I17" s="401"/>
    </row>
    <row r="18" spans="1:9" ht="12" customHeight="1">
      <c r="A18" s="306" t="s">
        <v>7329</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7330</v>
      </c>
      <c r="C21" s="445" t="str">
        <f>CONCATENATE('Preview Term'!E50," of  ",'Preview Term'!G50)</f>
        <v xml:space="preserve"> of  </v>
      </c>
      <c r="G21" s="401"/>
      <c r="I21" s="401"/>
    </row>
    <row r="22" spans="1:9" ht="3" customHeight="1">
      <c r="C22" s="445"/>
      <c r="G22" s="401"/>
      <c r="I22" s="401"/>
    </row>
    <row r="23" spans="1:9" ht="12" customHeight="1">
      <c r="A23" s="306" t="s">
        <v>7331</v>
      </c>
      <c r="C23" s="445">
        <f>'Preview Term'!E12</f>
        <v>0</v>
      </c>
      <c r="G23" s="401"/>
      <c r="I23" s="401"/>
    </row>
    <row r="24" spans="1:9" ht="3" customHeight="1">
      <c r="C24" s="445"/>
      <c r="G24" s="401"/>
      <c r="I24" s="401"/>
    </row>
    <row r="25" spans="1:9" ht="12" customHeight="1">
      <c r="A25" s="306" t="s">
        <v>7332</v>
      </c>
      <c r="C25" s="712">
        <f>'Preview Term'!E11</f>
        <v>0</v>
      </c>
      <c r="G25" s="401"/>
    </row>
    <row r="26" spans="1:9" ht="6" customHeight="1">
      <c r="G26" s="401"/>
      <c r="H26" s="401"/>
      <c r="I26" s="401"/>
    </row>
    <row r="27" spans="1:9" ht="12" customHeight="1">
      <c r="A27" s="444" t="s">
        <v>7333</v>
      </c>
      <c r="G27" s="401"/>
      <c r="H27" s="401"/>
      <c r="I27" s="401"/>
    </row>
    <row r="28" spans="1:9" ht="12" customHeight="1">
      <c r="A28" s="306" t="s">
        <v>7334</v>
      </c>
      <c r="C28" s="445" t="str">
        <f>'Sensitivity Analysis'!$C$8</f>
        <v>Westchester Village II</v>
      </c>
      <c r="I28" s="401"/>
    </row>
    <row r="29" spans="1:9" ht="3" customHeight="1">
      <c r="C29" s="445"/>
      <c r="I29" s="401"/>
    </row>
    <row r="30" spans="1:9" ht="12" customHeight="1">
      <c r="A30" s="306" t="s">
        <v>7335</v>
      </c>
      <c r="C30" s="445">
        <f>'Preview Term'!E16</f>
        <v>0</v>
      </c>
      <c r="I30" s="401"/>
    </row>
    <row r="31" spans="1:9">
      <c r="C31" s="401" t="str">
        <f>'Preview Term'!E17</f>
        <v>Jonesboro</v>
      </c>
      <c r="I31" s="401"/>
    </row>
    <row r="32" spans="1:9" ht="3" customHeight="1">
      <c r="C32" s="401"/>
      <c r="D32" s="401"/>
      <c r="I32" s="401"/>
    </row>
    <row r="33" spans="1:10" ht="12" customHeight="1">
      <c r="A33" s="306" t="s">
        <v>7336</v>
      </c>
      <c r="C33" s="401" t="s">
        <v>7337</v>
      </c>
      <c r="D33" s="711">
        <f>'Preview Term'!$F$55</f>
        <v>0</v>
      </c>
      <c r="I33" s="401"/>
    </row>
    <row r="34" spans="1:10" ht="12" customHeight="1">
      <c r="C34" s="401" t="s">
        <v>7338</v>
      </c>
      <c r="D34" s="1370">
        <f>D35-D33</f>
        <v>60</v>
      </c>
      <c r="I34" s="401"/>
    </row>
    <row r="35" spans="1:10" ht="12" customHeight="1">
      <c r="C35" s="401" t="s">
        <v>7339</v>
      </c>
      <c r="D35" s="3000">
        <f>'Preview Term'!$F$53</f>
        <v>60</v>
      </c>
      <c r="I35" s="401"/>
    </row>
    <row r="36" spans="1:10" ht="3" customHeight="1">
      <c r="C36" s="401"/>
      <c r="D36" s="401"/>
      <c r="I36" s="401"/>
    </row>
    <row r="37" spans="1:10" ht="12" customHeight="1">
      <c r="A37" s="306" t="s">
        <v>7340</v>
      </c>
      <c r="C37" s="749" t="s">
        <v>720</v>
      </c>
      <c r="D37" s="709">
        <f>'Preview Term'!F57</f>
        <v>0</v>
      </c>
      <c r="E37" s="401" t="s">
        <v>7341</v>
      </c>
      <c r="I37" s="401"/>
    </row>
    <row r="38" spans="1:10" ht="3" customHeight="1">
      <c r="G38" s="2632"/>
      <c r="H38" s="401"/>
      <c r="I38" s="401"/>
    </row>
    <row r="39" spans="1:10" ht="25.5" customHeight="1">
      <c r="A39" s="447" t="s">
        <v>7342</v>
      </c>
      <c r="C39" s="4949" t="str">
        <f>_xlfn.CONCAT('Part VII-Threshold Criteria OLD'!K192," and ",'Part VII-Threshold Criteria OLD'!K193)</f>
        <v>&lt;&lt;Select&gt;&gt; and &lt;&lt;Select&gt;&gt;</v>
      </c>
      <c r="D39" s="4949"/>
      <c r="E39" s="4949"/>
      <c r="F39" s="4949"/>
      <c r="G39" s="4949"/>
      <c r="H39" s="4949"/>
      <c r="I39" s="4949"/>
      <c r="J39" s="4949"/>
    </row>
    <row r="40" spans="1:10" ht="25.5" customHeight="1">
      <c r="A40" s="447" t="s">
        <v>7343</v>
      </c>
      <c r="C40" s="4949"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9"/>
      <c r="E40" s="4949"/>
      <c r="F40" s="4949"/>
      <c r="G40" s="4949"/>
      <c r="H40" s="4949"/>
      <c r="I40" s="4949"/>
      <c r="J40" s="4949"/>
    </row>
    <row r="41" spans="1:10" ht="3" customHeight="1">
      <c r="G41" s="401"/>
      <c r="H41" s="401"/>
      <c r="I41" s="401"/>
    </row>
    <row r="42" spans="1:10" ht="25.5" customHeight="1">
      <c r="A42" s="447" t="s">
        <v>7344</v>
      </c>
      <c r="C42" s="4949" t="s">
        <v>7345</v>
      </c>
      <c r="D42" s="4949"/>
      <c r="E42" s="4949"/>
      <c r="F42" s="4949"/>
      <c r="G42" s="4949"/>
      <c r="H42" s="4949"/>
      <c r="I42" s="4949"/>
      <c r="J42" s="4949"/>
    </row>
    <row r="43" spans="1:10" ht="3" customHeight="1">
      <c r="C43" s="312"/>
      <c r="D43" s="312"/>
      <c r="E43" s="312"/>
      <c r="F43" s="312"/>
      <c r="G43" s="312"/>
      <c r="H43" s="313"/>
      <c r="I43" s="313"/>
      <c r="J43" s="313"/>
    </row>
    <row r="44" spans="1:10" ht="12" customHeight="1">
      <c r="A44" s="306" t="s">
        <v>7346</v>
      </c>
      <c r="C44" s="357" t="str">
        <f>'Part I-Project Identification'!J28</f>
        <v>Clayton</v>
      </c>
      <c r="D44" s="312"/>
      <c r="F44" s="313"/>
      <c r="I44" s="313"/>
      <c r="J44" s="313"/>
    </row>
    <row r="45" spans="1:10" ht="3" customHeight="1">
      <c r="C45" s="312"/>
      <c r="D45" s="312"/>
      <c r="E45" s="312"/>
      <c r="F45" s="313"/>
      <c r="I45" s="313"/>
      <c r="J45" s="313"/>
    </row>
    <row r="46" spans="1:10" ht="12" customHeight="1">
      <c r="A46" s="306" t="s">
        <v>7347</v>
      </c>
      <c r="C46" s="456" t="s">
        <v>720</v>
      </c>
      <c r="I46" s="313"/>
      <c r="J46" s="313"/>
    </row>
    <row r="47" spans="1:10" ht="3" customHeight="1">
      <c r="C47" s="401"/>
      <c r="D47" s="2632"/>
      <c r="I47" s="401"/>
    </row>
    <row r="48" spans="1:10" ht="12" customHeight="1">
      <c r="A48" s="306" t="s">
        <v>7348</v>
      </c>
      <c r="C48" s="1042">
        <f>'Preview Term'!F59</f>
        <v>0</v>
      </c>
      <c r="I48" s="448"/>
      <c r="J48" s="448"/>
    </row>
    <row r="49" spans="1:10" ht="3" customHeight="1">
      <c r="D49" s="448"/>
      <c r="E49" s="448"/>
      <c r="F49" s="448"/>
      <c r="G49" s="448"/>
      <c r="H49" s="401"/>
      <c r="I49" s="448"/>
      <c r="J49" s="448"/>
    </row>
    <row r="50" spans="1:10" ht="12" customHeight="1">
      <c r="A50" s="401"/>
      <c r="B50" s="306" t="s">
        <v>7349</v>
      </c>
      <c r="C50" s="4949" t="s">
        <v>7350</v>
      </c>
      <c r="D50" s="4949"/>
      <c r="E50" s="4949"/>
      <c r="F50" s="4949"/>
      <c r="G50" s="4949"/>
      <c r="H50" s="4949"/>
      <c r="I50" s="4949"/>
      <c r="J50" s="4949"/>
    </row>
    <row r="51" spans="1:10" ht="12" customHeight="1">
      <c r="C51" s="4940" t="s">
        <v>7351</v>
      </c>
      <c r="D51" s="4940"/>
      <c r="E51" s="4940"/>
      <c r="F51" s="4940"/>
      <c r="G51" s="4940"/>
      <c r="H51" s="4940"/>
      <c r="I51" s="4940"/>
      <c r="J51" s="4940"/>
    </row>
    <row r="52" spans="1:10" ht="3" customHeight="1">
      <c r="D52" s="448"/>
      <c r="E52" s="448"/>
      <c r="F52" s="448"/>
      <c r="G52" s="448"/>
      <c r="H52" s="401"/>
      <c r="I52" s="448"/>
      <c r="J52" s="448"/>
    </row>
    <row r="53" spans="1:10" ht="12" customHeight="1">
      <c r="A53" s="447" t="s">
        <v>7352</v>
      </c>
      <c r="B53" s="447"/>
      <c r="C53" s="449" t="s">
        <v>7353</v>
      </c>
      <c r="D53" s="449" t="s">
        <v>7354</v>
      </c>
      <c r="E53" s="4941"/>
      <c r="F53" s="4941"/>
      <c r="G53" s="4941"/>
      <c r="H53" s="4941"/>
      <c r="I53" s="4941"/>
      <c r="J53" s="4941"/>
    </row>
    <row r="54" spans="1:10" ht="12" customHeight="1">
      <c r="A54" s="447"/>
      <c r="B54" s="447"/>
      <c r="C54" s="447"/>
      <c r="D54" s="449" t="s">
        <v>7355</v>
      </c>
      <c r="E54" s="4942"/>
      <c r="F54" s="4942"/>
      <c r="G54" s="4942"/>
      <c r="H54" s="4942"/>
      <c r="I54" s="4942"/>
      <c r="J54" s="4942"/>
    </row>
    <row r="55" spans="1:10" ht="12" customHeight="1">
      <c r="A55" s="444" t="s">
        <v>7356</v>
      </c>
      <c r="G55" s="401"/>
      <c r="H55" s="401"/>
      <c r="I55" s="401"/>
    </row>
    <row r="56" spans="1:10" ht="18" customHeight="1">
      <c r="A56" s="306" t="s">
        <v>7357</v>
      </c>
      <c r="C56" s="445">
        <f>'Sensitivity Analysis'!C10</f>
        <v>0</v>
      </c>
      <c r="G56" s="401"/>
      <c r="I56" s="401"/>
    </row>
    <row r="57" spans="1:10" ht="3" customHeight="1">
      <c r="C57" s="445"/>
      <c r="G57" s="401"/>
      <c r="I57" s="401"/>
    </row>
    <row r="58" spans="1:10" ht="12" customHeight="1">
      <c r="A58" s="306" t="s">
        <v>7358</v>
      </c>
      <c r="C58" s="445">
        <f>'Sensitivity Analysis'!C11</f>
        <v>0</v>
      </c>
      <c r="E58" s="445">
        <f>'Sensitivity Analysis'!E11</f>
        <v>0</v>
      </c>
      <c r="G58" s="401"/>
      <c r="I58" s="401"/>
    </row>
    <row r="59" spans="1:10" ht="3" customHeight="1">
      <c r="C59" s="445"/>
      <c r="G59" s="401"/>
      <c r="I59" s="401"/>
    </row>
    <row r="60" spans="1:10" ht="12" customHeight="1">
      <c r="A60" s="306" t="s">
        <v>7359</v>
      </c>
      <c r="C60" s="445" t="s">
        <v>2103</v>
      </c>
      <c r="G60" s="401"/>
      <c r="I60" s="401"/>
    </row>
    <row r="61" spans="1:10" ht="6" customHeight="1">
      <c r="G61" s="401"/>
      <c r="H61" s="401"/>
      <c r="I61" s="401"/>
    </row>
    <row r="62" spans="1:10" ht="12" customHeight="1">
      <c r="A62" s="444" t="s">
        <v>7360</v>
      </c>
      <c r="G62" s="401"/>
      <c r="H62" s="401"/>
      <c r="I62" s="401"/>
    </row>
    <row r="63" spans="1:10" ht="12" customHeight="1">
      <c r="A63" s="306" t="s">
        <v>7361</v>
      </c>
      <c r="C63" s="306" t="s">
        <v>7362</v>
      </c>
      <c r="D63" s="713">
        <f>'Preview Term'!F31</f>
        <v>16610244</v>
      </c>
      <c r="G63" s="401"/>
      <c r="I63" s="401"/>
    </row>
    <row r="64" spans="1:10" ht="3" customHeight="1">
      <c r="D64" s="450"/>
      <c r="G64" s="401"/>
      <c r="H64" s="451"/>
      <c r="I64" s="401"/>
    </row>
    <row r="65" spans="1:10" ht="12" customHeight="1">
      <c r="A65" s="306" t="s">
        <v>7363</v>
      </c>
      <c r="C65" s="306" t="s">
        <v>7364</v>
      </c>
      <c r="D65" s="445" t="s">
        <v>670</v>
      </c>
      <c r="G65" s="401"/>
      <c r="I65" s="401"/>
    </row>
    <row r="66" spans="1:10" ht="3" customHeight="1">
      <c r="D66" s="450"/>
      <c r="G66" s="401"/>
      <c r="H66" s="401"/>
      <c r="I66" s="401"/>
    </row>
    <row r="67" spans="1:10" ht="12" customHeight="1">
      <c r="A67" s="306" t="s">
        <v>7365</v>
      </c>
      <c r="C67" s="714" t="s">
        <v>720</v>
      </c>
      <c r="D67" s="450"/>
      <c r="I67" s="401"/>
    </row>
    <row r="68" spans="1:10" ht="12" customHeight="1">
      <c r="C68" s="306" t="s">
        <v>7366</v>
      </c>
      <c r="D68" s="2633" t="s">
        <v>720</v>
      </c>
      <c r="I68" s="401"/>
    </row>
    <row r="69" spans="1:10" ht="12" customHeight="1">
      <c r="C69" s="306" t="s">
        <v>7326</v>
      </c>
      <c r="D69" s="4938"/>
      <c r="E69" s="4938"/>
      <c r="F69" s="4938"/>
      <c r="G69" s="4938"/>
      <c r="H69" s="4938"/>
      <c r="I69" s="4938"/>
      <c r="J69" s="4938"/>
    </row>
    <row r="70" spans="1:10" ht="3" customHeight="1">
      <c r="D70" s="450"/>
      <c r="E70" s="401"/>
      <c r="F70" s="401"/>
      <c r="I70" s="401"/>
    </row>
    <row r="71" spans="1:10" ht="12" customHeight="1">
      <c r="A71" s="306" t="s">
        <v>7367</v>
      </c>
      <c r="C71" s="306" t="s">
        <v>4670</v>
      </c>
      <c r="D71" s="456" t="s">
        <v>720</v>
      </c>
      <c r="I71" s="401"/>
    </row>
    <row r="72" spans="1:10" ht="3" customHeight="1">
      <c r="D72" s="401"/>
      <c r="E72" s="401"/>
      <c r="I72" s="401"/>
    </row>
    <row r="73" spans="1:10" ht="12" customHeight="1">
      <c r="A73" s="306" t="s">
        <v>7368</v>
      </c>
      <c r="C73" s="714" t="s">
        <v>720</v>
      </c>
      <c r="I73" s="401"/>
    </row>
    <row r="74" spans="1:10" ht="3" customHeight="1">
      <c r="C74" s="450"/>
      <c r="G74" s="401"/>
      <c r="H74" s="401"/>
      <c r="I74" s="401"/>
    </row>
    <row r="75" spans="1:10" ht="12" customHeight="1">
      <c r="A75" s="306" t="s">
        <v>7369</v>
      </c>
      <c r="C75" s="450" t="s">
        <v>7370</v>
      </c>
      <c r="D75" s="716">
        <v>0</v>
      </c>
      <c r="J75" s="401"/>
    </row>
    <row r="76" spans="1:10" ht="12" customHeight="1">
      <c r="C76" s="452" t="s">
        <v>7371</v>
      </c>
      <c r="D76" s="717">
        <v>0.01</v>
      </c>
      <c r="J76" s="401"/>
    </row>
    <row r="77" spans="1:10" ht="3" customHeight="1">
      <c r="C77" s="450"/>
      <c r="D77" s="450"/>
      <c r="G77" s="401"/>
      <c r="H77" s="401"/>
      <c r="I77" s="401"/>
    </row>
    <row r="78" spans="1:10" ht="12" customHeight="1">
      <c r="A78" s="306" t="s">
        <v>7372</v>
      </c>
      <c r="C78" s="450" t="s">
        <v>7373</v>
      </c>
      <c r="D78" s="454">
        <v>24</v>
      </c>
      <c r="I78" s="401"/>
    </row>
    <row r="79" spans="1:10" ht="3" customHeight="1">
      <c r="D79" s="450"/>
      <c r="E79" s="401"/>
      <c r="F79" s="401"/>
      <c r="I79" s="401"/>
    </row>
    <row r="80" spans="1:10" ht="12" customHeight="1">
      <c r="A80" s="306" t="s">
        <v>7374</v>
      </c>
      <c r="C80" s="306" t="s">
        <v>4670</v>
      </c>
      <c r="D80" s="454">
        <f>'Preview Term'!F40</f>
        <v>216</v>
      </c>
      <c r="E80" s="401" t="s">
        <v>7375</v>
      </c>
      <c r="I80" s="401"/>
    </row>
    <row r="81" spans="1:9" ht="3" customHeight="1">
      <c r="D81" s="450"/>
      <c r="G81" s="401"/>
      <c r="H81" s="401"/>
      <c r="I81" s="401"/>
    </row>
    <row r="82" spans="1:9" ht="12" customHeight="1">
      <c r="A82" s="306" t="s">
        <v>7376</v>
      </c>
      <c r="D82" s="715">
        <v>0</v>
      </c>
      <c r="E82" s="455">
        <f>D82*12</f>
        <v>0</v>
      </c>
      <c r="F82" s="401" t="s">
        <v>7377</v>
      </c>
    </row>
    <row r="83" spans="1:9" ht="3" customHeight="1">
      <c r="D83" s="445"/>
      <c r="E83" s="401"/>
      <c r="G83" s="401"/>
    </row>
    <row r="84" spans="1:9" ht="12" customHeight="1">
      <c r="A84" s="306" t="s">
        <v>7378</v>
      </c>
      <c r="D84" s="2633" t="s">
        <v>670</v>
      </c>
      <c r="E84" s="401" t="s">
        <v>7379</v>
      </c>
      <c r="G84" s="401"/>
    </row>
    <row r="85" spans="1:9" ht="3" customHeight="1">
      <c r="G85" s="401"/>
      <c r="H85" s="401"/>
      <c r="I85" s="401"/>
    </row>
    <row r="86" spans="1:9" ht="12" customHeight="1">
      <c r="A86" s="306" t="s">
        <v>7380</v>
      </c>
      <c r="C86" s="1043">
        <f>'Subsidy Layering Memo'!L70</f>
        <v>3358703.3582890108</v>
      </c>
      <c r="D86" s="457" t="s">
        <v>7381</v>
      </c>
      <c r="I86" s="401"/>
    </row>
    <row r="87" spans="1:9" ht="3" customHeight="1">
      <c r="C87" s="401" t="s">
        <v>720</v>
      </c>
      <c r="D87" s="401"/>
      <c r="E87" s="401"/>
      <c r="I87" s="401"/>
    </row>
    <row r="88" spans="1:9" ht="12" customHeight="1">
      <c r="A88" s="306" t="s">
        <v>7382</v>
      </c>
      <c r="B88" s="458"/>
      <c r="C88" s="714" t="s">
        <v>720</v>
      </c>
      <c r="D88" s="719"/>
      <c r="I88" s="401"/>
    </row>
    <row r="89" spans="1:9" ht="3" customHeight="1">
      <c r="G89" s="401"/>
      <c r="H89" s="401"/>
      <c r="I89" s="401"/>
    </row>
    <row r="90" spans="1:9" ht="12" customHeight="1">
      <c r="A90" s="306" t="s">
        <v>7383</v>
      </c>
      <c r="C90" s="450" t="s">
        <v>7384</v>
      </c>
      <c r="D90" s="445" t="s">
        <v>7292</v>
      </c>
      <c r="I90" s="401"/>
    </row>
    <row r="91" spans="1:9" ht="12" customHeight="1">
      <c r="C91" s="450" t="s">
        <v>7385</v>
      </c>
      <c r="D91" s="445" t="s">
        <v>670</v>
      </c>
      <c r="I91" s="401"/>
    </row>
    <row r="92" spans="1:9" ht="3" customHeight="1">
      <c r="G92" s="401"/>
      <c r="H92" s="401"/>
      <c r="I92" s="401"/>
    </row>
    <row r="93" spans="1:9" ht="12" customHeight="1">
      <c r="A93" s="306" t="s">
        <v>7386</v>
      </c>
      <c r="C93" s="450" t="s">
        <v>7370</v>
      </c>
      <c r="D93" s="401" t="s">
        <v>7387</v>
      </c>
      <c r="E93" s="450" t="str">
        <f>'Part II-Sources of Funds'!G24</f>
        <v>Sterling Bank</v>
      </c>
      <c r="I93" s="401"/>
    </row>
    <row r="94" spans="1:9" ht="12" customHeight="1">
      <c r="C94" s="450"/>
      <c r="D94" s="401"/>
      <c r="E94" s="450" t="s">
        <v>35</v>
      </c>
      <c r="F94" s="4933"/>
      <c r="G94" s="4933"/>
      <c r="H94" s="4933"/>
      <c r="I94" s="401"/>
    </row>
    <row r="95" spans="1:9" ht="12" customHeight="1">
      <c r="C95" s="450"/>
      <c r="D95" s="401"/>
      <c r="E95" s="450" t="s">
        <v>7388</v>
      </c>
      <c r="F95" s="4943"/>
      <c r="G95" s="4943"/>
      <c r="H95" s="4943"/>
      <c r="I95" s="401"/>
    </row>
    <row r="96" spans="1:9" ht="12" customHeight="1">
      <c r="C96" s="450"/>
      <c r="D96" s="401"/>
      <c r="E96" s="450" t="s">
        <v>1853</v>
      </c>
      <c r="F96" s="4936"/>
      <c r="G96" s="4936"/>
      <c r="H96" s="4936"/>
      <c r="I96" s="401"/>
    </row>
    <row r="97" spans="1:10" ht="12" customHeight="1">
      <c r="B97" s="446"/>
      <c r="C97" s="452" t="s">
        <v>7371</v>
      </c>
      <c r="D97" s="401" t="s">
        <v>7387</v>
      </c>
      <c r="E97" s="450" t="str">
        <f>'Part II-Sources of Funds'!E42</f>
        <v>Sterling Bank</v>
      </c>
      <c r="I97" s="401"/>
    </row>
    <row r="98" spans="1:10" ht="12" customHeight="1">
      <c r="C98" s="450"/>
      <c r="D98" s="401"/>
      <c r="E98" s="450" t="s">
        <v>35</v>
      </c>
      <c r="F98" s="4933"/>
      <c r="G98" s="4933"/>
      <c r="H98" s="4933"/>
      <c r="I98" s="401"/>
    </row>
    <row r="99" spans="1:10" ht="12" customHeight="1">
      <c r="C99" s="450"/>
      <c r="D99" s="401"/>
      <c r="E99" s="450" t="s">
        <v>7388</v>
      </c>
      <c r="F99" s="4943"/>
      <c r="G99" s="4943"/>
      <c r="H99" s="4943"/>
      <c r="I99" s="401"/>
    </row>
    <row r="100" spans="1:10" ht="12" customHeight="1">
      <c r="C100" s="450"/>
      <c r="D100" s="401"/>
      <c r="E100" s="450" t="s">
        <v>1853</v>
      </c>
      <c r="F100" s="4936"/>
      <c r="G100" s="4936"/>
      <c r="H100" s="4936"/>
      <c r="I100" s="401"/>
    </row>
    <row r="101" spans="1:10" ht="3" customHeight="1">
      <c r="D101" s="459"/>
      <c r="G101" s="401"/>
      <c r="H101" s="401"/>
      <c r="I101" s="401"/>
    </row>
    <row r="102" spans="1:10" ht="12" customHeight="1">
      <c r="A102" s="306" t="s">
        <v>7389</v>
      </c>
      <c r="D102" s="2633">
        <f>'Part VIII Scoring Criteria OLD'!O265</f>
        <v>0</v>
      </c>
      <c r="E102" s="401" t="s">
        <v>7390</v>
      </c>
      <c r="G102" s="306">
        <f>'Part VIII Scoring Criteria OLD'!O261</f>
        <v>0</v>
      </c>
      <c r="H102" s="306" t="s">
        <v>7391</v>
      </c>
      <c r="I102" s="401"/>
    </row>
    <row r="103" spans="1:10" ht="3" customHeight="1">
      <c r="E103" s="401"/>
      <c r="F103" s="401"/>
      <c r="I103" s="401"/>
    </row>
    <row r="104" spans="1:10" ht="12" customHeight="1">
      <c r="A104" s="401" t="s">
        <v>7392</v>
      </c>
      <c r="D104" s="306" t="s">
        <v>670</v>
      </c>
      <c r="E104" s="401"/>
      <c r="I104" s="401"/>
    </row>
    <row r="105" spans="1:10" ht="6" customHeight="1">
      <c r="G105" s="401"/>
      <c r="H105" s="401"/>
      <c r="I105" s="401"/>
    </row>
    <row r="106" spans="1:10" ht="12" customHeight="1">
      <c r="A106" s="444" t="s">
        <v>7393</v>
      </c>
      <c r="I106" s="401"/>
    </row>
    <row r="107" spans="1:10" ht="12" customHeight="1">
      <c r="A107" s="306" t="s">
        <v>7394</v>
      </c>
      <c r="C107" s="718" t="s">
        <v>720</v>
      </c>
      <c r="D107" s="4944"/>
      <c r="E107" s="4944"/>
      <c r="F107" s="4944"/>
      <c r="G107" s="4944"/>
      <c r="H107" s="4944"/>
      <c r="I107" s="4944"/>
      <c r="J107" s="4945"/>
    </row>
    <row r="108" spans="1:10" ht="3" customHeight="1">
      <c r="C108" s="450"/>
      <c r="D108" s="401"/>
      <c r="I108" s="401"/>
    </row>
    <row r="109" spans="1:10" ht="12" customHeight="1">
      <c r="A109" s="306" t="s">
        <v>7395</v>
      </c>
      <c r="C109" s="2633" t="s">
        <v>720</v>
      </c>
    </row>
    <row r="110" spans="1:10" ht="3" customHeight="1">
      <c r="C110" s="450"/>
      <c r="E110" s="401"/>
      <c r="F110" s="401"/>
      <c r="I110" s="401"/>
    </row>
    <row r="111" spans="1:10" ht="12" customHeight="1">
      <c r="A111" s="306" t="s">
        <v>7396</v>
      </c>
      <c r="C111" s="2633" t="s">
        <v>720</v>
      </c>
      <c r="I111" s="401"/>
    </row>
    <row r="112" spans="1:10" ht="3" customHeight="1">
      <c r="D112" s="2632"/>
      <c r="I112" s="401"/>
    </row>
    <row r="113" spans="1:10" ht="12" customHeight="1">
      <c r="A113" s="306" t="s">
        <v>7397</v>
      </c>
      <c r="D113" s="454">
        <v>24</v>
      </c>
      <c r="E113" s="401" t="s">
        <v>7398</v>
      </c>
      <c r="I113" s="401"/>
    </row>
    <row r="114" spans="1:10" ht="12" customHeight="1">
      <c r="C114" s="445" t="s">
        <v>7399</v>
      </c>
      <c r="I114" s="401"/>
    </row>
    <row r="115" spans="1:10" ht="12" customHeight="1">
      <c r="C115" s="445" t="s">
        <v>7400</v>
      </c>
      <c r="G115" s="401"/>
      <c r="I115" s="401"/>
    </row>
    <row r="116" spans="1:10" ht="3" customHeight="1">
      <c r="G116" s="401"/>
      <c r="H116" s="401"/>
      <c r="I116" s="401"/>
    </row>
    <row r="117" spans="1:10" ht="12" customHeight="1">
      <c r="A117" s="306" t="s">
        <v>7401</v>
      </c>
      <c r="D117" s="460">
        <v>0</v>
      </c>
      <c r="E117" s="461" t="s">
        <v>7402</v>
      </c>
      <c r="I117" s="401"/>
    </row>
    <row r="118" spans="1:10" ht="3" customHeight="1">
      <c r="D118" s="450"/>
      <c r="E118" s="401"/>
      <c r="F118" s="401"/>
      <c r="I118" s="401"/>
    </row>
    <row r="119" spans="1:10" ht="12" customHeight="1">
      <c r="A119" s="306" t="s">
        <v>7403</v>
      </c>
      <c r="C119" s="714" t="s">
        <v>720</v>
      </c>
      <c r="D119" s="450"/>
      <c r="I119" s="401"/>
    </row>
    <row r="120" spans="1:10" ht="12" customHeight="1">
      <c r="C120" s="401" t="s">
        <v>7404</v>
      </c>
      <c r="D120" s="453"/>
      <c r="E120" s="4947" t="s">
        <v>7405</v>
      </c>
      <c r="F120" s="4947"/>
      <c r="G120" s="4947"/>
      <c r="H120" s="4947"/>
      <c r="I120" s="4947"/>
      <c r="J120" s="4947"/>
    </row>
    <row r="121" spans="1:10" ht="12" customHeight="1">
      <c r="C121" s="401" t="s">
        <v>7406</v>
      </c>
      <c r="D121" s="3001"/>
      <c r="E121" s="4947"/>
      <c r="F121" s="4947"/>
      <c r="G121" s="4947"/>
      <c r="H121" s="4947"/>
      <c r="I121" s="4947"/>
      <c r="J121" s="4947"/>
    </row>
    <row r="122" spans="1:10" ht="12" customHeight="1">
      <c r="C122" s="401" t="s">
        <v>7407</v>
      </c>
      <c r="D122" s="3001"/>
      <c r="E122" s="4947"/>
      <c r="F122" s="4947"/>
      <c r="G122" s="4947"/>
      <c r="H122" s="4947"/>
      <c r="I122" s="4947"/>
      <c r="J122" s="4947"/>
    </row>
    <row r="123" spans="1:10" ht="12" customHeight="1">
      <c r="C123" s="401" t="s">
        <v>7407</v>
      </c>
      <c r="D123" s="3001"/>
      <c r="E123" s="4947"/>
      <c r="F123" s="4947"/>
      <c r="G123" s="4947"/>
      <c r="H123" s="4947"/>
      <c r="I123" s="4947"/>
      <c r="J123" s="4947"/>
    </row>
    <row r="124" spans="1:10" ht="3" customHeight="1">
      <c r="E124" s="401"/>
      <c r="F124" s="401"/>
      <c r="I124" s="401"/>
    </row>
    <row r="125" spans="1:10" ht="12" customHeight="1">
      <c r="A125" s="306" t="s">
        <v>7408</v>
      </c>
      <c r="D125" s="455" t="s">
        <v>7390</v>
      </c>
      <c r="I125" s="401"/>
    </row>
    <row r="126" spans="1:10" ht="3" customHeight="1">
      <c r="D126" s="401"/>
      <c r="I126" s="401"/>
    </row>
    <row r="127" spans="1:10" ht="12" customHeight="1">
      <c r="A127" s="306" t="s">
        <v>7409</v>
      </c>
      <c r="D127" s="401" t="s">
        <v>7390</v>
      </c>
      <c r="I127" s="401"/>
    </row>
    <row r="128" spans="1:10" ht="3" customHeight="1">
      <c r="G128" s="401"/>
      <c r="H128" s="401"/>
      <c r="I128" s="401"/>
    </row>
    <row r="129" spans="1:10" ht="12" customHeight="1">
      <c r="A129" s="306" t="s">
        <v>7410</v>
      </c>
      <c r="D129" s="401" t="s">
        <v>7411</v>
      </c>
      <c r="G129" s="401"/>
      <c r="I129" s="401"/>
    </row>
    <row r="130" spans="1:10" ht="7.5" customHeight="1">
      <c r="G130" s="401"/>
      <c r="H130" s="401"/>
      <c r="I130" s="401"/>
    </row>
    <row r="131" spans="1:10" ht="12" customHeight="1">
      <c r="A131" s="444" t="s">
        <v>7412</v>
      </c>
      <c r="G131" s="401"/>
      <c r="H131" s="401"/>
      <c r="I131" s="401"/>
    </row>
    <row r="132" spans="1:10" ht="12" customHeight="1">
      <c r="A132" s="306" t="s">
        <v>7413</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7414</v>
      </c>
      <c r="C135" s="462">
        <f>('Part III-A-Uses of Funds'!G127-'Part II-Sources of Funds'!I47)/2</f>
        <v>1124248.5</v>
      </c>
      <c r="G135" s="401"/>
      <c r="I135" s="401"/>
    </row>
    <row r="136" spans="1:10" ht="3" customHeight="1">
      <c r="C136" s="401"/>
      <c r="G136" s="401"/>
      <c r="I136" s="401"/>
    </row>
    <row r="137" spans="1:10" ht="12" customHeight="1">
      <c r="A137" s="306" t="s">
        <v>7415</v>
      </c>
      <c r="C137" s="2633" t="s">
        <v>4692</v>
      </c>
      <c r="G137" s="401"/>
      <c r="I137" s="401"/>
    </row>
    <row r="138" spans="1:10" ht="3" customHeight="1">
      <c r="C138" s="445"/>
      <c r="G138" s="401"/>
      <c r="I138" s="401"/>
    </row>
    <row r="139" spans="1:10" ht="12" customHeight="1">
      <c r="A139" s="306" t="s">
        <v>7416</v>
      </c>
      <c r="C139" s="445">
        <f>'Preview Term'!E20</f>
        <v>0</v>
      </c>
      <c r="G139" s="401"/>
      <c r="I139" s="401"/>
      <c r="J139" s="463"/>
    </row>
    <row r="140" spans="1:10" ht="3" customHeight="1">
      <c r="C140" s="445"/>
      <c r="G140" s="401"/>
      <c r="I140" s="401"/>
    </row>
    <row r="141" spans="1:10" ht="12" customHeight="1">
      <c r="A141" s="306" t="s">
        <v>7417</v>
      </c>
      <c r="C141" s="445">
        <f>C8</f>
        <v>0</v>
      </c>
      <c r="G141" s="401"/>
      <c r="I141" s="401"/>
    </row>
    <row r="142" spans="1:10" ht="3" customHeight="1">
      <c r="C142" s="445"/>
      <c r="G142" s="401"/>
      <c r="I142" s="401"/>
    </row>
    <row r="143" spans="1:10" ht="12" customHeight="1">
      <c r="A143" s="306" t="s">
        <v>7418</v>
      </c>
      <c r="C143" s="445">
        <f>C18</f>
        <v>0</v>
      </c>
      <c r="G143" s="401"/>
      <c r="I143" s="401"/>
    </row>
    <row r="144" spans="1:10">
      <c r="C144" s="445">
        <f>C19</f>
        <v>0</v>
      </c>
      <c r="G144" s="401"/>
      <c r="I144" s="401"/>
    </row>
    <row r="145" spans="1:10" ht="3" customHeight="1">
      <c r="C145" s="401"/>
      <c r="G145" s="401"/>
      <c r="I145" s="401"/>
    </row>
    <row r="146" spans="1:10" ht="12" customHeight="1">
      <c r="A146" s="306" t="s">
        <v>7419</v>
      </c>
      <c r="C146" s="445">
        <f>'Sensitivity Analysis'!H10</f>
        <v>0</v>
      </c>
      <c r="G146" s="401"/>
      <c r="I146" s="401"/>
      <c r="J146" s="463"/>
    </row>
    <row r="147" spans="1:10" ht="3" customHeight="1">
      <c r="C147" s="445"/>
      <c r="G147" s="401"/>
      <c r="I147" s="401"/>
    </row>
    <row r="148" spans="1:10" ht="12" customHeight="1">
      <c r="A148" s="306" t="s">
        <v>7420</v>
      </c>
      <c r="C148" s="445">
        <f>'Sensitivity Analysis'!K10</f>
        <v>0</v>
      </c>
      <c r="G148" s="401"/>
      <c r="I148" s="401"/>
      <c r="J148" s="463"/>
    </row>
    <row r="149" spans="1:10" ht="3" customHeight="1">
      <c r="C149" s="401"/>
      <c r="G149" s="401"/>
      <c r="I149" s="401"/>
    </row>
    <row r="150" spans="1:10" ht="12" customHeight="1">
      <c r="A150" s="306" t="s">
        <v>7421</v>
      </c>
      <c r="C150" s="401" t="s">
        <v>7390</v>
      </c>
      <c r="G150" s="401"/>
      <c r="I150" s="401"/>
    </row>
    <row r="151" spans="1:10" ht="3" customHeight="1">
      <c r="C151" s="401"/>
      <c r="G151" s="401"/>
      <c r="I151" s="401"/>
    </row>
    <row r="152" spans="1:10" ht="12" customHeight="1">
      <c r="A152" s="306" t="s">
        <v>7422</v>
      </c>
      <c r="C152" s="401" t="s">
        <v>7390</v>
      </c>
      <c r="G152" s="401"/>
      <c r="I152" s="401"/>
    </row>
    <row r="153" spans="1:10" ht="7.5" customHeight="1">
      <c r="G153" s="401"/>
      <c r="H153" s="401"/>
      <c r="I153" s="401"/>
    </row>
    <row r="154" spans="1:10" ht="12" customHeight="1">
      <c r="A154" s="444" t="s">
        <v>7423</v>
      </c>
      <c r="G154" s="401"/>
      <c r="H154" s="401"/>
      <c r="I154" s="401"/>
    </row>
    <row r="155" spans="1:10" ht="3" customHeight="1">
      <c r="D155" s="401"/>
      <c r="E155" s="401"/>
      <c r="G155" s="401"/>
    </row>
    <row r="156" spans="1:10" ht="12" customHeight="1">
      <c r="A156" s="306" t="s">
        <v>7424</v>
      </c>
      <c r="C156" s="401" t="s">
        <v>7425</v>
      </c>
      <c r="D156" s="401"/>
      <c r="G156" s="401"/>
      <c r="H156" s="401"/>
      <c r="I156" s="401"/>
    </row>
    <row r="157" spans="1:10" ht="3" customHeight="1">
      <c r="D157" s="401"/>
      <c r="E157" s="401"/>
      <c r="G157" s="401"/>
    </row>
    <row r="158" spans="1:10" ht="12" customHeight="1">
      <c r="A158" s="306" t="s">
        <v>7426</v>
      </c>
      <c r="D158" s="2633">
        <v>20</v>
      </c>
      <c r="E158" s="401" t="s">
        <v>4670</v>
      </c>
    </row>
    <row r="159" spans="1:10" ht="3" customHeight="1">
      <c r="D159" s="401"/>
      <c r="E159" s="401"/>
      <c r="G159" s="401"/>
    </row>
    <row r="160" spans="1:10" ht="12" customHeight="1">
      <c r="A160" s="306" t="s">
        <v>7427</v>
      </c>
      <c r="C160" s="714" t="str">
        <f>'Part V-Revenues &amp; Expenses'!$G$6</f>
        <v>&lt;Select&gt;</v>
      </c>
      <c r="D160" s="401" t="s">
        <v>7428</v>
      </c>
      <c r="G160" s="401"/>
    </row>
    <row r="161" spans="1:9" ht="3" customHeight="1">
      <c r="G161" s="401"/>
      <c r="H161" s="401"/>
      <c r="I161" s="401"/>
    </row>
    <row r="162" spans="1:9" ht="12" customHeight="1">
      <c r="A162" s="306" t="s">
        <v>7429</v>
      </c>
      <c r="G162" s="401"/>
      <c r="H162" s="401"/>
      <c r="I162" s="401"/>
    </row>
    <row r="163" spans="1:9" ht="7.5" customHeight="1">
      <c r="G163" s="401"/>
      <c r="H163" s="401"/>
      <c r="I163" s="401"/>
    </row>
    <row r="164" spans="1:9" ht="12" customHeight="1">
      <c r="A164" s="444" t="s">
        <v>7430</v>
      </c>
      <c r="G164" s="401"/>
      <c r="H164" s="401"/>
      <c r="I164" s="401"/>
    </row>
    <row r="165" spans="1:9" ht="12" customHeight="1">
      <c r="A165" s="306" t="s">
        <v>7431</v>
      </c>
      <c r="C165" s="306" t="s">
        <v>7432</v>
      </c>
      <c r="E165" s="456">
        <f>'Preview Term'!F80</f>
        <v>0</v>
      </c>
      <c r="G165" s="401"/>
      <c r="I165" s="401"/>
    </row>
    <row r="166" spans="1:9" ht="12" customHeight="1">
      <c r="C166" s="306" t="s">
        <v>7433</v>
      </c>
      <c r="E166" s="4938"/>
      <c r="F166" s="4938"/>
      <c r="G166" s="4938"/>
      <c r="I166" s="401"/>
    </row>
    <row r="167" spans="1:9" ht="3" customHeight="1">
      <c r="E167" s="401"/>
      <c r="G167" s="401"/>
      <c r="I167" s="401"/>
    </row>
    <row r="168" spans="1:9" ht="12" customHeight="1">
      <c r="A168" s="306" t="s">
        <v>7434</v>
      </c>
      <c r="C168" s="306" t="s">
        <v>7435</v>
      </c>
      <c r="E168" s="462">
        <f>'Preview Term'!F74</f>
        <v>339409</v>
      </c>
      <c r="G168" s="401"/>
      <c r="I168" s="401"/>
    </row>
    <row r="169" spans="1:9" ht="12" customHeight="1">
      <c r="C169" s="306" t="s">
        <v>7433</v>
      </c>
      <c r="E169" s="4938"/>
      <c r="F169" s="4938"/>
      <c r="G169" s="4938"/>
      <c r="I169" s="401"/>
    </row>
    <row r="170" spans="1:9" ht="12" customHeight="1">
      <c r="C170" s="306" t="s">
        <v>7436</v>
      </c>
      <c r="E170" s="445" t="s">
        <v>2103</v>
      </c>
      <c r="G170" s="401"/>
      <c r="I170" s="401"/>
    </row>
    <row r="171" spans="1:9" ht="3" customHeight="1">
      <c r="E171" s="445"/>
      <c r="G171" s="401"/>
      <c r="I171" s="401"/>
    </row>
    <row r="172" spans="1:9" ht="12" customHeight="1">
      <c r="A172" s="306" t="s">
        <v>7437</v>
      </c>
      <c r="C172" s="306" t="s">
        <v>7438</v>
      </c>
      <c r="E172" s="462">
        <f>'Preview Term'!F76</f>
        <v>0</v>
      </c>
      <c r="G172" s="401"/>
      <c r="I172" s="401"/>
    </row>
    <row r="173" spans="1:9" ht="12" customHeight="1">
      <c r="C173" s="306" t="s">
        <v>7439</v>
      </c>
      <c r="E173" s="462">
        <f>'Preview Term'!F76</f>
        <v>0</v>
      </c>
      <c r="G173" s="401"/>
      <c r="I173" s="401"/>
    </row>
    <row r="174" spans="1:9" ht="12" customHeight="1">
      <c r="C174" s="306" t="s">
        <v>7440</v>
      </c>
      <c r="E174" s="462">
        <f>'Part V-Revenues &amp; Expenses'!Q256</f>
        <v>18000</v>
      </c>
      <c r="F174" s="401" t="s">
        <v>7441</v>
      </c>
    </row>
    <row r="175" spans="1:9">
      <c r="E175" s="462">
        <f>E174/12</f>
        <v>1500</v>
      </c>
      <c r="F175" s="401" t="s">
        <v>7263</v>
      </c>
    </row>
    <row r="176" spans="1:9" ht="12" customHeight="1">
      <c r="C176" s="306" t="s">
        <v>7442</v>
      </c>
      <c r="E176" s="4938"/>
      <c r="F176" s="4938"/>
      <c r="G176" s="4938"/>
      <c r="I176" s="401"/>
    </row>
    <row r="177" spans="1:10" ht="12" customHeight="1">
      <c r="C177" s="306" t="s">
        <v>7443</v>
      </c>
      <c r="E177" s="401" t="s">
        <v>7444</v>
      </c>
      <c r="I177" s="401"/>
    </row>
    <row r="178" spans="1:10" ht="12" customHeight="1">
      <c r="C178" s="306" t="s">
        <v>7445</v>
      </c>
      <c r="E178" s="401" t="s">
        <v>2103</v>
      </c>
      <c r="I178" s="401"/>
    </row>
    <row r="179" spans="1:10" ht="3" customHeight="1">
      <c r="E179" s="401"/>
      <c r="F179" s="401"/>
      <c r="I179" s="401"/>
    </row>
    <row r="180" spans="1:10" ht="12" customHeight="1">
      <c r="A180" s="306" t="s">
        <v>7446</v>
      </c>
      <c r="C180" s="306" t="s">
        <v>7447</v>
      </c>
      <c r="E180" s="456" t="s">
        <v>720</v>
      </c>
      <c r="I180" s="401"/>
    </row>
    <row r="181" spans="1:10" ht="12" customHeight="1">
      <c r="C181" s="306" t="s">
        <v>7448</v>
      </c>
      <c r="E181" s="456" t="s">
        <v>720</v>
      </c>
      <c r="F181" s="4938"/>
      <c r="G181" s="4938"/>
      <c r="H181" s="4938"/>
      <c r="I181" s="4938"/>
      <c r="J181" s="4938"/>
    </row>
    <row r="182" spans="1:10" ht="12" customHeight="1">
      <c r="C182" s="306" t="s">
        <v>7449</v>
      </c>
      <c r="E182" s="401" t="s">
        <v>7390</v>
      </c>
      <c r="I182" s="401"/>
    </row>
    <row r="183" spans="1:10" ht="12" customHeight="1">
      <c r="C183" s="306" t="s">
        <v>7450</v>
      </c>
      <c r="E183" s="401" t="s">
        <v>2103</v>
      </c>
      <c r="I183" s="401"/>
    </row>
    <row r="184" spans="1:10" ht="3" customHeight="1">
      <c r="G184" s="401"/>
      <c r="H184" s="401"/>
      <c r="I184" s="401"/>
    </row>
    <row r="185" spans="1:10" ht="12" customHeight="1">
      <c r="A185" s="306" t="s">
        <v>7451</v>
      </c>
      <c r="C185" s="306" t="s">
        <v>7452</v>
      </c>
      <c r="E185" s="462">
        <f>'Preview Term'!F78</f>
        <v>90065</v>
      </c>
      <c r="G185" s="401"/>
      <c r="I185" s="401"/>
    </row>
    <row r="186" spans="1:10" ht="12" customHeight="1">
      <c r="C186" s="306" t="s">
        <v>7433</v>
      </c>
      <c r="E186" s="445">
        <f>E169</f>
        <v>0</v>
      </c>
      <c r="G186" s="401"/>
      <c r="I186" s="401"/>
    </row>
    <row r="187" spans="1:10" ht="12" customHeight="1">
      <c r="C187" s="306" t="s">
        <v>7453</v>
      </c>
      <c r="E187" s="445" t="s">
        <v>7390</v>
      </c>
      <c r="G187" s="401"/>
      <c r="I187" s="401"/>
    </row>
    <row r="188" spans="1:10" ht="3" customHeight="1">
      <c r="E188" s="445"/>
      <c r="G188" s="401"/>
      <c r="I188" s="401"/>
    </row>
    <row r="189" spans="1:10" ht="12" customHeight="1">
      <c r="A189" s="306" t="s">
        <v>7454</v>
      </c>
      <c r="C189" s="306" t="s">
        <v>7455</v>
      </c>
      <c r="E189" s="445" t="s">
        <v>7390</v>
      </c>
      <c r="G189" s="401"/>
      <c r="I189" s="401"/>
    </row>
    <row r="190" spans="1:10" ht="12" customHeight="1">
      <c r="C190" s="306" t="s">
        <v>7435</v>
      </c>
      <c r="E190" s="450"/>
      <c r="G190" s="401"/>
      <c r="H190" s="455"/>
      <c r="I190" s="401"/>
    </row>
    <row r="191" spans="1:10" ht="12" customHeight="1">
      <c r="C191" s="306" t="s">
        <v>7433</v>
      </c>
      <c r="E191" s="450"/>
      <c r="I191" s="445"/>
    </row>
    <row r="192" spans="1:10" ht="12" customHeight="1">
      <c r="C192" s="306" t="s">
        <v>7436</v>
      </c>
      <c r="E192" s="450"/>
      <c r="G192" s="401"/>
      <c r="H192" s="401"/>
      <c r="I192" s="401"/>
    </row>
    <row r="193" spans="1:10" ht="9" customHeight="1">
      <c r="G193" s="401"/>
      <c r="H193" s="401"/>
      <c r="I193" s="401"/>
    </row>
    <row r="194" spans="1:10" ht="12" customHeight="1">
      <c r="A194" s="444" t="s">
        <v>7456</v>
      </c>
      <c r="C194" s="401" t="s">
        <v>7457</v>
      </c>
      <c r="E194" s="401"/>
      <c r="I194" s="401"/>
    </row>
    <row r="195" spans="1:10" ht="9" customHeight="1">
      <c r="E195" s="401"/>
      <c r="F195" s="401"/>
      <c r="I195" s="401"/>
    </row>
    <row r="196" spans="1:10" ht="12" customHeight="1">
      <c r="A196" s="444" t="s">
        <v>7458</v>
      </c>
      <c r="E196" s="401"/>
      <c r="F196" s="401"/>
      <c r="I196" s="401"/>
    </row>
    <row r="197" spans="1:10" ht="12" customHeight="1">
      <c r="A197" s="306" t="s">
        <v>7459</v>
      </c>
      <c r="C197" s="710" t="s">
        <v>720</v>
      </c>
      <c r="E197" s="401"/>
      <c r="F197" s="401"/>
      <c r="I197" s="401"/>
    </row>
    <row r="198" spans="1:10" ht="3" customHeight="1">
      <c r="G198" s="401"/>
      <c r="H198" s="401"/>
      <c r="I198" s="401"/>
    </row>
    <row r="199" spans="1:10">
      <c r="A199" s="447" t="s">
        <v>7460</v>
      </c>
      <c r="B199" s="447"/>
      <c r="C199" s="447"/>
      <c r="D199" s="447"/>
      <c r="E199" s="449" t="s">
        <v>7461</v>
      </c>
      <c r="F199" s="4946">
        <f>'Part VII-Threshold Criteria OLD'!E372</f>
        <v>0</v>
      </c>
      <c r="G199" s="4946"/>
      <c r="H199" s="4946"/>
      <c r="I199" s="4946"/>
      <c r="J199" s="4946"/>
    </row>
    <row r="200" spans="1:10" ht="9" customHeight="1">
      <c r="G200" s="401"/>
      <c r="H200" s="401"/>
      <c r="I200" s="401"/>
    </row>
    <row r="201" spans="1:10" ht="12" customHeight="1">
      <c r="A201" s="464" t="s">
        <v>7462</v>
      </c>
      <c r="G201" s="401"/>
      <c r="H201" s="401"/>
      <c r="I201" s="455"/>
    </row>
    <row r="202" spans="1:10" ht="25.5" hidden="1" customHeight="1">
      <c r="A202" s="4939" t="str">
        <f>'Subsidy Layering Memo'!A105</f>
        <v>Include any reserve requirements; explain any reserves far in excess of 6 month ODR, 3 mo lease up, 1 year RR, 6 mo T&amp;I standards.</v>
      </c>
      <c r="B202" s="4939"/>
      <c r="C202" s="4939"/>
      <c r="D202" s="4939"/>
      <c r="E202" s="4939"/>
      <c r="F202" s="4939"/>
      <c r="G202" s="4939"/>
      <c r="H202" s="4939"/>
      <c r="I202" s="4939"/>
      <c r="J202" s="4939"/>
    </row>
    <row r="203" spans="1:10">
      <c r="A203" s="401"/>
      <c r="G203" s="401"/>
      <c r="H203" s="401"/>
      <c r="I203" s="401"/>
    </row>
    <row r="204" spans="1:10" s="366" customFormat="1" ht="15">
      <c r="A204" s="2512" t="s">
        <v>7045</v>
      </c>
    </row>
    <row r="205" spans="1:10" s="366" customFormat="1" ht="14.25" customHeight="1">
      <c r="A205" s="4912"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12"/>
      <c r="C205" s="4912"/>
      <c r="D205" s="4912"/>
      <c r="E205" s="4912"/>
      <c r="F205" s="4912"/>
      <c r="G205" s="4912"/>
      <c r="H205" s="4912"/>
      <c r="I205" s="4912"/>
      <c r="J205" s="4912"/>
    </row>
    <row r="206" spans="1:10" s="366" customFormat="1" ht="14.25" customHeight="1">
      <c r="A206" s="4912"/>
      <c r="B206" s="4912"/>
      <c r="C206" s="4912"/>
      <c r="D206" s="4912"/>
      <c r="E206" s="4912"/>
      <c r="F206" s="4912"/>
      <c r="G206" s="4912"/>
      <c r="H206" s="4912"/>
      <c r="I206" s="4912"/>
      <c r="J206" s="4912"/>
    </row>
    <row r="207" spans="1:10" s="366" customFormat="1" ht="6.75" customHeight="1">
      <c r="A207" s="4912"/>
      <c r="B207" s="4912"/>
      <c r="C207" s="4912"/>
      <c r="D207" s="4912"/>
      <c r="E207" s="4912"/>
      <c r="F207" s="4912"/>
      <c r="G207" s="4912"/>
      <c r="H207" s="4912"/>
      <c r="I207" s="4912"/>
      <c r="J207" s="4912"/>
    </row>
    <row r="208" spans="1:10" s="366" customFormat="1" ht="21.75" customHeight="1">
      <c r="A208" s="4912"/>
      <c r="B208" s="4912"/>
      <c r="C208" s="4912"/>
      <c r="D208" s="4912"/>
      <c r="E208" s="4912"/>
      <c r="F208" s="4912"/>
      <c r="G208" s="4912"/>
      <c r="H208" s="4912"/>
      <c r="I208" s="4912"/>
      <c r="J208" s="4912"/>
    </row>
    <row r="209" spans="1:10" s="366" customFormat="1" ht="20.25" customHeight="1">
      <c r="A209" s="4912"/>
      <c r="B209" s="4912"/>
      <c r="C209" s="4912"/>
      <c r="D209" s="4912"/>
      <c r="E209" s="4912"/>
      <c r="F209" s="4912"/>
      <c r="G209" s="4912"/>
      <c r="H209" s="4912"/>
      <c r="I209" s="4912"/>
      <c r="J209" s="4912"/>
    </row>
    <row r="210" spans="1:10" s="366" customFormat="1" ht="54.75" customHeight="1">
      <c r="A210" s="4912"/>
      <c r="B210" s="4912"/>
      <c r="C210" s="4912"/>
      <c r="D210" s="4912"/>
      <c r="E210" s="4912"/>
      <c r="F210" s="4912"/>
      <c r="G210" s="4912"/>
      <c r="H210" s="4912"/>
      <c r="I210" s="4912"/>
      <c r="J210" s="4912"/>
    </row>
    <row r="211" spans="1:10" s="366" customFormat="1" ht="0.75" hidden="1" customHeight="1">
      <c r="A211" s="4912"/>
      <c r="B211" s="4912"/>
      <c r="C211" s="4912"/>
      <c r="D211" s="4912"/>
      <c r="E211" s="4912"/>
      <c r="F211" s="4912"/>
      <c r="G211" s="4912"/>
      <c r="H211" s="4912"/>
      <c r="I211" s="4912"/>
      <c r="J211" s="4912"/>
    </row>
    <row r="212" spans="1:10" s="366" customFormat="1" ht="3.75" hidden="1" customHeight="1">
      <c r="A212" s="4912"/>
      <c r="B212" s="4912"/>
      <c r="C212" s="4912"/>
      <c r="D212" s="4912"/>
      <c r="E212" s="4912"/>
      <c r="F212" s="4912"/>
      <c r="G212" s="4912"/>
      <c r="H212" s="4912"/>
      <c r="I212" s="4912"/>
      <c r="J212" s="4912"/>
    </row>
    <row r="213" spans="1:10" s="366" customFormat="1" ht="5.25" customHeight="1">
      <c r="A213" s="862"/>
      <c r="B213" s="862"/>
      <c r="C213" s="862"/>
      <c r="D213" s="862"/>
      <c r="E213" s="862"/>
      <c r="F213" s="862"/>
      <c r="G213" s="862"/>
      <c r="H213" s="862"/>
      <c r="I213" s="862"/>
      <c r="J213" s="862"/>
    </row>
    <row r="214" spans="1:10" s="366" customFormat="1" ht="19.5" customHeight="1">
      <c r="A214" s="4911" t="s">
        <v>7047</v>
      </c>
      <c r="B214" s="4911"/>
      <c r="C214" s="4911"/>
      <c r="D214" s="2621"/>
      <c r="E214" s="2621"/>
      <c r="F214" s="2621"/>
      <c r="G214" s="2621"/>
      <c r="H214" s="2621"/>
      <c r="I214" s="2621"/>
      <c r="J214" s="2621"/>
    </row>
    <row r="215" spans="1:10" s="366" customFormat="1" ht="22.5" customHeight="1">
      <c r="A215" s="4893" t="str">
        <f>'Subsidy Layering Memo'!A37</f>
        <v>1)</v>
      </c>
      <c r="B215" s="4893"/>
      <c r="C215" s="4893"/>
      <c r="D215" s="4893"/>
      <c r="E215" s="4893"/>
      <c r="F215" s="4893"/>
      <c r="G215" s="4893"/>
      <c r="H215" s="4893"/>
      <c r="I215" s="4893"/>
      <c r="J215" s="4893"/>
    </row>
    <row r="216" spans="1:10" s="366" customFormat="1" ht="22.5" customHeight="1">
      <c r="A216" s="4893" t="str">
        <f>'Subsidy Layering Memo'!A38</f>
        <v>2)</v>
      </c>
      <c r="B216" s="4893"/>
      <c r="C216" s="4893"/>
      <c r="D216" s="4893"/>
      <c r="E216" s="4893"/>
      <c r="F216" s="4893"/>
      <c r="G216" s="4893"/>
      <c r="H216" s="4893"/>
      <c r="I216" s="4893"/>
      <c r="J216" s="4893"/>
    </row>
    <row r="217" spans="1:10" s="366" customFormat="1" ht="22.5" customHeight="1">
      <c r="A217" s="4893" t="str">
        <f>'Subsidy Layering Memo'!A39</f>
        <v>3)</v>
      </c>
      <c r="B217" s="4893"/>
      <c r="C217" s="4893"/>
      <c r="D217" s="4893"/>
      <c r="E217" s="4893"/>
      <c r="F217" s="4893"/>
      <c r="G217" s="4893"/>
      <c r="H217" s="4893"/>
      <c r="I217" s="4893"/>
      <c r="J217" s="4893"/>
    </row>
    <row r="218" spans="1:10" s="366" customFormat="1" ht="22.5" customHeight="1">
      <c r="A218" s="4893" t="str">
        <f>'Subsidy Layering Memo'!A40</f>
        <v>4)</v>
      </c>
      <c r="B218" s="4893"/>
      <c r="C218" s="4893"/>
      <c r="D218" s="4893"/>
      <c r="E218" s="4893"/>
      <c r="F218" s="4893"/>
      <c r="G218" s="4893"/>
      <c r="H218" s="4893"/>
      <c r="I218" s="4893"/>
      <c r="J218" s="4893"/>
    </row>
    <row r="219" spans="1:10" s="366" customFormat="1" ht="22.5" customHeight="1">
      <c r="A219" s="4893" t="str">
        <f>'Subsidy Layering Memo'!A41</f>
        <v>5)</v>
      </c>
      <c r="B219" s="4893"/>
      <c r="C219" s="4893"/>
      <c r="D219" s="4893"/>
      <c r="E219" s="4893"/>
      <c r="F219" s="4893"/>
      <c r="G219" s="4893"/>
      <c r="H219" s="4893"/>
      <c r="I219" s="4893"/>
      <c r="J219" s="4893"/>
    </row>
    <row r="220" spans="1:10" s="366" customFormat="1" ht="22.5" customHeight="1">
      <c r="A220" s="4893" t="str">
        <f>'Subsidy Layering Memo'!A42</f>
        <v>6)</v>
      </c>
      <c r="B220" s="4893"/>
      <c r="C220" s="4893"/>
      <c r="D220" s="4893"/>
      <c r="E220" s="4893"/>
      <c r="F220" s="4893"/>
      <c r="G220" s="4893"/>
      <c r="H220" s="4893"/>
      <c r="I220" s="4893"/>
      <c r="J220" s="4893"/>
    </row>
    <row r="221" spans="1:10" s="366" customFormat="1" ht="22.5" customHeight="1">
      <c r="A221" s="4893" t="str">
        <f>'Subsidy Layering Memo'!A43</f>
        <v>7)</v>
      </c>
      <c r="B221" s="4893"/>
      <c r="C221" s="4893"/>
      <c r="D221" s="4893"/>
      <c r="E221" s="4893"/>
      <c r="F221" s="4893"/>
      <c r="G221" s="4893"/>
      <c r="H221" s="4893"/>
      <c r="I221" s="4893"/>
      <c r="J221" s="4893"/>
    </row>
    <row r="222" spans="1:10" s="366" customFormat="1" ht="22.5" customHeight="1">
      <c r="A222" s="4893" t="str">
        <f>'Subsidy Layering Memo'!A44</f>
        <v>8)</v>
      </c>
      <c r="B222" s="4893"/>
      <c r="C222" s="4893"/>
      <c r="D222" s="4893"/>
      <c r="E222" s="4893"/>
      <c r="F222" s="4893"/>
      <c r="G222" s="4893"/>
      <c r="H222" s="4893"/>
      <c r="I222" s="4893"/>
      <c r="J222" s="4893"/>
    </row>
  </sheetData>
  <sheetProtection algorithmName="SHA-512" hashValue="LXeE6HvVoYchzLm8iFeU0w6Hm5UXPGtJ+IBqG6YIq0R4pyQ1VsHdheDR95iZzRa2qSKCdMzBKJuMRtenkJ8/mQ==" saltValue="st4eVa6bZypCa8Q/kZYGSA==" spinCount="100000" sheet="1" objects="1" scenarios="1"/>
  <mergeCells count="36">
    <mergeCell ref="A218:J218"/>
    <mergeCell ref="A219:J219"/>
    <mergeCell ref="A220:J220"/>
    <mergeCell ref="A221:J221"/>
    <mergeCell ref="A222:J222"/>
    <mergeCell ref="A205:J212"/>
    <mergeCell ref="A214:C214"/>
    <mergeCell ref="A215:J215"/>
    <mergeCell ref="A216:J216"/>
    <mergeCell ref="A217:J217"/>
    <mergeCell ref="F199:J199"/>
    <mergeCell ref="E120:J123"/>
    <mergeCell ref="E166:G166"/>
    <mergeCell ref="A1:J1"/>
    <mergeCell ref="A2:J2"/>
    <mergeCell ref="C39:J39"/>
    <mergeCell ref="C42:J42"/>
    <mergeCell ref="C50:J50"/>
    <mergeCell ref="C40:J40"/>
    <mergeCell ref="E169:G169"/>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140625" defaultRowHeight="16.5"/>
  <cols>
    <col min="1" max="1" width="5.42578125" style="904" customWidth="1"/>
    <col min="2" max="2" width="6.140625" style="904" customWidth="1"/>
    <col min="3" max="3" width="9.85546875" style="904" customWidth="1"/>
    <col min="4" max="4" width="10.42578125" style="904" customWidth="1"/>
    <col min="5" max="5" width="7.85546875" style="905" customWidth="1"/>
    <col min="6" max="6" width="8" style="904" customWidth="1"/>
    <col min="7" max="7" width="8.85546875" style="904" customWidth="1"/>
    <col min="8" max="8" width="10.140625" style="904" customWidth="1"/>
    <col min="9" max="9" width="10.85546875" style="904" customWidth="1"/>
    <col min="10" max="11" width="11.85546875" style="904" customWidth="1"/>
    <col min="12" max="16384" width="9.140625" style="904"/>
  </cols>
  <sheetData>
    <row r="1" spans="1:11" ht="18.75">
      <c r="A1" s="925" t="s">
        <v>4584</v>
      </c>
      <c r="B1" s="925"/>
      <c r="C1" s="925"/>
      <c r="D1" s="925"/>
      <c r="E1" s="925"/>
      <c r="F1" s="925"/>
      <c r="G1" s="925"/>
      <c r="H1" s="925"/>
    </row>
    <row r="2" spans="1:11" ht="19.5" thickBot="1">
      <c r="A2" s="925" t="s">
        <v>4585</v>
      </c>
      <c r="B2" s="925"/>
      <c r="C2" s="925"/>
      <c r="D2" s="925"/>
      <c r="E2" s="925"/>
      <c r="F2" s="925"/>
      <c r="G2" s="925"/>
      <c r="H2" s="925"/>
    </row>
    <row r="3" spans="1:11" ht="15" customHeight="1" thickBot="1">
      <c r="A3" s="2832" t="s">
        <v>4586</v>
      </c>
      <c r="B3" s="2833"/>
      <c r="C3" s="2834"/>
      <c r="D3" s="4233" t="str">
        <f>'Part I-Project Identification'!F27</f>
        <v>Westchester Village II</v>
      </c>
      <c r="E3" s="4234"/>
      <c r="F3" s="4234"/>
      <c r="G3" s="4234"/>
      <c r="H3" s="4234"/>
      <c r="I3" s="4234"/>
      <c r="J3" s="4954" t="s">
        <v>7463</v>
      </c>
      <c r="K3" s="4955"/>
    </row>
    <row r="4" spans="1:11" ht="15" customHeight="1">
      <c r="A4" s="906" t="s">
        <v>4588</v>
      </c>
      <c r="B4" s="907"/>
      <c r="C4" s="908"/>
      <c r="D4" s="4950">
        <f>'Preview Term'!$E$16</f>
        <v>0</v>
      </c>
      <c r="E4" s="4951"/>
      <c r="F4" s="4951"/>
      <c r="G4" s="4951"/>
      <c r="H4" s="4951"/>
      <c r="I4" s="4951"/>
      <c r="J4" s="4239" t="s">
        <v>4589</v>
      </c>
      <c r="K4" s="4240"/>
    </row>
    <row r="5" spans="1:11" ht="15" customHeight="1" thickBot="1">
      <c r="A5" s="909" t="s">
        <v>4590</v>
      </c>
      <c r="B5" s="910"/>
      <c r="C5" s="911"/>
      <c r="D5" s="4952"/>
      <c r="E5" s="4953"/>
      <c r="F5" s="4953"/>
      <c r="G5" s="4953"/>
      <c r="H5" s="4953"/>
      <c r="I5" s="4953"/>
      <c r="J5" s="4241"/>
      <c r="K5" s="4242"/>
    </row>
    <row r="6" spans="1:11" ht="9" customHeight="1" thickBot="1">
      <c r="E6" s="904"/>
    </row>
    <row r="7" spans="1:11">
      <c r="A7" s="4227" t="s">
        <v>4591</v>
      </c>
      <c r="B7" s="4228"/>
      <c r="C7" s="4228"/>
      <c r="D7" s="4228"/>
      <c r="E7" s="4228"/>
      <c r="F7" s="4228"/>
      <c r="G7" s="4228"/>
      <c r="H7" s="4228"/>
      <c r="I7" s="4228"/>
      <c r="J7" s="4228"/>
      <c r="K7" s="4229"/>
    </row>
    <row r="8" spans="1:11" ht="14.25" customHeight="1">
      <c r="A8" s="907"/>
      <c r="B8" s="907"/>
      <c r="C8" s="3002">
        <v>1</v>
      </c>
      <c r="D8" s="2836" t="s">
        <v>4592</v>
      </c>
      <c r="E8" s="2836"/>
      <c r="F8" s="2836"/>
      <c r="G8" s="2836"/>
      <c r="H8" s="2836"/>
      <c r="I8" s="2836"/>
      <c r="J8" s="4977"/>
      <c r="K8" s="4978"/>
    </row>
    <row r="9" spans="1:11" ht="7.35" customHeight="1">
      <c r="A9" s="4249"/>
      <c r="B9" s="4249"/>
      <c r="C9" s="4249"/>
      <c r="D9" s="4250"/>
      <c r="E9" s="4250"/>
      <c r="F9" s="4250"/>
      <c r="G9" s="4250"/>
      <c r="H9" s="4250"/>
      <c r="I9" s="4250"/>
      <c r="J9" s="4250"/>
      <c r="K9" s="2838"/>
    </row>
    <row r="10" spans="1:11">
      <c r="A10" s="4251" t="s">
        <v>4593</v>
      </c>
      <c r="B10" s="4252"/>
      <c r="C10" s="4252"/>
      <c r="D10" s="4252"/>
      <c r="E10" s="4252"/>
      <c r="F10" s="4252"/>
      <c r="G10" s="4252"/>
      <c r="H10" s="4252"/>
      <c r="I10" s="4252"/>
      <c r="J10" s="4252"/>
      <c r="K10" s="4253"/>
    </row>
    <row r="11" spans="1:11" ht="14.25" customHeight="1">
      <c r="A11" s="907"/>
      <c r="B11" s="907"/>
      <c r="C11" s="3002">
        <v>2</v>
      </c>
      <c r="D11" s="2836" t="s">
        <v>4594</v>
      </c>
      <c r="E11" s="2839"/>
      <c r="F11" s="2839"/>
      <c r="G11" s="2839"/>
      <c r="H11" s="2839"/>
      <c r="I11" s="2839"/>
      <c r="J11" s="4975"/>
      <c r="K11" s="4976"/>
    </row>
    <row r="12" spans="1:11" ht="7.35" customHeight="1">
      <c r="A12" s="4249"/>
      <c r="B12" s="4249"/>
      <c r="C12" s="4249"/>
      <c r="D12" s="4250"/>
      <c r="E12" s="4250"/>
      <c r="F12" s="4250"/>
      <c r="G12" s="4250"/>
      <c r="H12" s="4250"/>
      <c r="I12" s="4250"/>
      <c r="J12" s="4250"/>
      <c r="K12" s="2837"/>
    </row>
    <row r="13" spans="1:11">
      <c r="A13" s="4251" t="s">
        <v>4595</v>
      </c>
      <c r="B13" s="4252"/>
      <c r="C13" s="4252"/>
      <c r="D13" s="4252"/>
      <c r="E13" s="4252"/>
      <c r="F13" s="4252"/>
      <c r="G13" s="4252"/>
      <c r="H13" s="4252"/>
      <c r="I13" s="4252"/>
      <c r="J13" s="4252"/>
      <c r="K13" s="4253"/>
    </row>
    <row r="14" spans="1:11" ht="14.25" customHeight="1">
      <c r="A14" s="907"/>
      <c r="B14" s="907"/>
      <c r="C14" s="3003">
        <v>3</v>
      </c>
      <c r="D14" s="2841" t="s">
        <v>4596</v>
      </c>
      <c r="E14" s="2841"/>
      <c r="F14" s="2841"/>
      <c r="G14" s="2841"/>
      <c r="H14" s="2841"/>
      <c r="I14" s="2841"/>
      <c r="J14" s="4973"/>
      <c r="K14" s="4974"/>
    </row>
    <row r="15" spans="1:11" ht="14.25" customHeight="1">
      <c r="A15" s="907"/>
      <c r="B15" s="907"/>
      <c r="C15" s="919">
        <v>4</v>
      </c>
      <c r="D15" s="907" t="s">
        <v>4597</v>
      </c>
      <c r="E15" s="907"/>
      <c r="F15" s="907"/>
      <c r="G15" s="907"/>
      <c r="H15" s="907"/>
      <c r="I15" s="907"/>
      <c r="J15" s="4971"/>
      <c r="K15" s="4972"/>
    </row>
    <row r="16" spans="1:11" ht="14.25" customHeight="1">
      <c r="A16" s="907"/>
      <c r="B16" s="907"/>
      <c r="C16" s="919">
        <v>5</v>
      </c>
      <c r="D16" s="907" t="s">
        <v>4598</v>
      </c>
      <c r="E16" s="907"/>
      <c r="F16" s="907"/>
      <c r="G16" s="907"/>
      <c r="H16" s="907"/>
      <c r="I16" s="907"/>
      <c r="J16" s="4971"/>
      <c r="K16" s="4972"/>
    </row>
    <row r="17" spans="1:13" ht="14.25" customHeight="1">
      <c r="A17" s="907"/>
      <c r="B17" s="907"/>
      <c r="C17" s="920">
        <v>6</v>
      </c>
      <c r="D17" s="910" t="s">
        <v>4599</v>
      </c>
      <c r="E17" s="910"/>
      <c r="F17" s="910"/>
      <c r="G17" s="910"/>
      <c r="H17" s="910"/>
      <c r="I17" s="910"/>
      <c r="J17" s="4979"/>
      <c r="K17" s="4980"/>
    </row>
    <row r="18" spans="1:13" ht="7.35" customHeight="1">
      <c r="A18" s="4249"/>
      <c r="B18" s="4249"/>
      <c r="C18" s="4249"/>
      <c r="D18" s="4250"/>
      <c r="E18" s="4250"/>
      <c r="F18" s="4250"/>
      <c r="G18" s="4250"/>
      <c r="H18" s="4250"/>
      <c r="I18" s="4250"/>
      <c r="J18" s="4250"/>
      <c r="K18" s="2837"/>
    </row>
    <row r="19" spans="1:13" ht="14.25" customHeight="1">
      <c r="A19" s="907"/>
      <c r="B19" s="907"/>
      <c r="C19" s="3003">
        <v>7</v>
      </c>
      <c r="D19" s="2841" t="s">
        <v>4600</v>
      </c>
      <c r="E19" s="2841"/>
      <c r="F19" s="2841"/>
      <c r="G19" s="2841"/>
      <c r="H19" s="2841"/>
      <c r="I19" s="2841"/>
      <c r="J19" s="4245" t="str">
        <f>IF(J17="No",J14-J15,IF(J17="Yes",J14-J15-J16,"Error"))</f>
        <v>Error</v>
      </c>
      <c r="K19" s="4246"/>
    </row>
    <row r="20" spans="1:13" ht="14.25" customHeight="1">
      <c r="A20" s="907"/>
      <c r="B20" s="907"/>
      <c r="C20" s="920">
        <v>8</v>
      </c>
      <c r="D20" s="910" t="s">
        <v>4601</v>
      </c>
      <c r="E20" s="910"/>
      <c r="F20" s="910"/>
      <c r="G20" s="910"/>
      <c r="H20" s="910"/>
      <c r="I20" s="910"/>
      <c r="J20" s="4264" t="e">
        <f>ROUNDDOWN(J19/J8,2)</f>
        <v>#VALUE!</v>
      </c>
      <c r="K20" s="4265"/>
    </row>
    <row r="21" spans="1:13" ht="7.35" customHeight="1">
      <c r="A21" s="4249"/>
      <c r="B21" s="4249"/>
      <c r="C21" s="4249"/>
      <c r="D21" s="4250"/>
      <c r="E21" s="4250"/>
      <c r="F21" s="4250"/>
      <c r="G21" s="4250"/>
      <c r="H21" s="4250"/>
      <c r="I21" s="4250"/>
      <c r="J21" s="4250"/>
      <c r="K21" s="2837"/>
    </row>
    <row r="22" spans="1:13" ht="14.25" customHeight="1" thickBot="1">
      <c r="A22" s="907"/>
      <c r="B22" s="907"/>
      <c r="C22" s="3002">
        <v>9</v>
      </c>
      <c r="D22" s="2842" t="s">
        <v>4602</v>
      </c>
      <c r="E22" s="2842"/>
      <c r="F22" s="2842"/>
      <c r="G22" s="2842"/>
      <c r="H22" s="2842"/>
      <c r="I22" s="2842"/>
      <c r="J22" s="4266" t="e">
        <f>J11/J19</f>
        <v>#VALUE!</v>
      </c>
      <c r="K22" s="4267"/>
    </row>
    <row r="23" spans="1:13" ht="9" customHeight="1">
      <c r="A23" s="2578"/>
      <c r="C23" s="913"/>
      <c r="D23" s="913"/>
      <c r="E23" s="913"/>
      <c r="F23" s="913"/>
      <c r="G23" s="913"/>
      <c r="H23" s="913"/>
      <c r="I23" s="913"/>
      <c r="J23" s="913"/>
      <c r="K23" s="914"/>
    </row>
    <row r="24" spans="1:13" ht="18.75">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8" t="s">
        <v>4608</v>
      </c>
      <c r="B30" s="4269"/>
      <c r="C30" s="4269"/>
      <c r="D30" s="4269"/>
      <c r="E30" s="4269"/>
      <c r="F30" s="4269"/>
      <c r="G30" s="4269"/>
      <c r="H30" s="4269"/>
      <c r="I30" s="4269"/>
      <c r="J30" s="4269"/>
      <c r="K30" s="4270"/>
    </row>
    <row r="31" spans="1:13">
      <c r="B31" s="4966" t="s">
        <v>7463</v>
      </c>
      <c r="C31" s="4966"/>
      <c r="D31" s="4966"/>
      <c r="E31" s="4966"/>
      <c r="F31" s="4966"/>
      <c r="G31" s="4272" t="s">
        <v>4609</v>
      </c>
      <c r="H31" s="4273"/>
      <c r="I31" s="4273"/>
      <c r="J31" s="4273"/>
      <c r="K31" s="4274"/>
    </row>
    <row r="32" spans="1:13" ht="56.25" customHeight="1">
      <c r="A32" s="2510"/>
      <c r="B32" s="921" t="s">
        <v>4610</v>
      </c>
      <c r="C32" s="922" t="s">
        <v>4611</v>
      </c>
      <c r="D32" s="922" t="s">
        <v>4612</v>
      </c>
      <c r="E32" s="4275" t="s">
        <v>4613</v>
      </c>
      <c r="F32" s="4276"/>
      <c r="G32" s="923" t="s">
        <v>4614</v>
      </c>
      <c r="H32" s="923" t="s">
        <v>4615</v>
      </c>
      <c r="J32" s="923" t="s">
        <v>4616</v>
      </c>
      <c r="K32" s="923" t="s">
        <v>4617</v>
      </c>
      <c r="L32" s="4277" t="s">
        <v>4618</v>
      </c>
      <c r="M32" s="4277"/>
    </row>
    <row r="33" spans="2:14" ht="12.75" customHeight="1">
      <c r="B33" s="3004"/>
      <c r="C33" s="3005"/>
      <c r="D33" s="3006"/>
      <c r="E33" s="4958"/>
      <c r="F33" s="4959"/>
      <c r="G33" s="2846" t="e">
        <f t="shared" ref="G33:G51" si="0">$J$22*B33</f>
        <v>#VALUE!</v>
      </c>
      <c r="H33" s="2847" t="e">
        <f>ROUNDUP(G33,0)</f>
        <v>#VALUE!</v>
      </c>
      <c r="I33" s="933"/>
      <c r="J33" s="2848" t="e">
        <f t="shared" ref="J33:J51" si="1">$J$20*E33</f>
        <v>#VALUE!</v>
      </c>
      <c r="K33" s="2848" t="e">
        <f t="shared" ref="K33:K51" si="2">ROUNDDOWN(J33*H33,0)</f>
        <v>#VALUE!</v>
      </c>
      <c r="L33" s="4277"/>
      <c r="M33" s="4277"/>
    </row>
    <row r="34" spans="2:14" ht="12.75" customHeight="1">
      <c r="B34" s="998"/>
      <c r="C34" s="999"/>
      <c r="D34" s="1000"/>
      <c r="E34" s="4960"/>
      <c r="F34" s="4961"/>
      <c r="G34" s="934" t="e">
        <f t="shared" si="0"/>
        <v>#VALUE!</v>
      </c>
      <c r="H34" s="935" t="e">
        <f t="shared" ref="H34:H51" si="3">ROUNDUP(G34,0)</f>
        <v>#VALUE!</v>
      </c>
      <c r="I34" s="933"/>
      <c r="J34" s="936" t="e">
        <f t="shared" si="1"/>
        <v>#VALUE!</v>
      </c>
      <c r="K34" s="936" t="e">
        <f t="shared" si="2"/>
        <v>#VALUE!</v>
      </c>
      <c r="L34" s="4277"/>
      <c r="M34" s="4277"/>
    </row>
    <row r="35" spans="2:14" ht="12.75" customHeight="1">
      <c r="B35" s="998"/>
      <c r="C35" s="999"/>
      <c r="D35" s="1000"/>
      <c r="E35" s="4960"/>
      <c r="F35" s="4961"/>
      <c r="G35" s="934" t="e">
        <f t="shared" si="0"/>
        <v>#VALUE!</v>
      </c>
      <c r="H35" s="935" t="e">
        <f t="shared" si="3"/>
        <v>#VALUE!</v>
      </c>
      <c r="I35" s="933"/>
      <c r="J35" s="936" t="e">
        <f t="shared" si="1"/>
        <v>#VALUE!</v>
      </c>
      <c r="K35" s="936" t="e">
        <f t="shared" si="2"/>
        <v>#VALUE!</v>
      </c>
      <c r="L35" s="4277"/>
      <c r="M35" s="4277"/>
    </row>
    <row r="36" spans="2:14" ht="12.75" customHeight="1">
      <c r="B36" s="998"/>
      <c r="C36" s="999"/>
      <c r="D36" s="1000"/>
      <c r="E36" s="4960"/>
      <c r="F36" s="4961"/>
      <c r="G36" s="934" t="e">
        <f t="shared" si="0"/>
        <v>#VALUE!</v>
      </c>
      <c r="H36" s="935" t="e">
        <f t="shared" si="3"/>
        <v>#VALUE!</v>
      </c>
      <c r="I36" s="933"/>
      <c r="J36" s="936" t="e">
        <f t="shared" si="1"/>
        <v>#VALUE!</v>
      </c>
      <c r="K36" s="936" t="e">
        <f t="shared" si="2"/>
        <v>#VALUE!</v>
      </c>
      <c r="L36" s="4277"/>
      <c r="M36" s="4277"/>
      <c r="N36" s="916"/>
    </row>
    <row r="37" spans="2:14" ht="12.75" customHeight="1">
      <c r="B37" s="998"/>
      <c r="C37" s="999"/>
      <c r="D37" s="1000"/>
      <c r="E37" s="4960"/>
      <c r="F37" s="4961"/>
      <c r="G37" s="934" t="e">
        <f t="shared" si="0"/>
        <v>#VALUE!</v>
      </c>
      <c r="H37" s="935" t="e">
        <f t="shared" si="3"/>
        <v>#VALUE!</v>
      </c>
      <c r="I37" s="933"/>
      <c r="J37" s="936" t="e">
        <f t="shared" si="1"/>
        <v>#VALUE!</v>
      </c>
      <c r="K37" s="936" t="e">
        <f t="shared" si="2"/>
        <v>#VALUE!</v>
      </c>
      <c r="L37" s="4277"/>
      <c r="M37" s="4277"/>
    </row>
    <row r="38" spans="2:14" ht="12.75" customHeight="1">
      <c r="B38" s="998"/>
      <c r="C38" s="999"/>
      <c r="D38" s="1000"/>
      <c r="E38" s="4960"/>
      <c r="F38" s="4961"/>
      <c r="G38" s="934" t="e">
        <f t="shared" si="0"/>
        <v>#VALUE!</v>
      </c>
      <c r="H38" s="935" t="e">
        <f t="shared" si="3"/>
        <v>#VALUE!</v>
      </c>
      <c r="I38" s="933"/>
      <c r="J38" s="936" t="e">
        <f t="shared" si="1"/>
        <v>#VALUE!</v>
      </c>
      <c r="K38" s="936" t="e">
        <f t="shared" si="2"/>
        <v>#VALUE!</v>
      </c>
      <c r="L38" s="4277"/>
      <c r="M38" s="4277"/>
    </row>
    <row r="39" spans="2:14" ht="12.75" customHeight="1">
      <c r="B39" s="998"/>
      <c r="C39" s="999"/>
      <c r="D39" s="1000"/>
      <c r="E39" s="4960"/>
      <c r="F39" s="4961"/>
      <c r="G39" s="934" t="e">
        <f t="shared" si="0"/>
        <v>#VALUE!</v>
      </c>
      <c r="H39" s="935" t="e">
        <f t="shared" si="3"/>
        <v>#VALUE!</v>
      </c>
      <c r="I39" s="933"/>
      <c r="J39" s="936" t="e">
        <f t="shared" si="1"/>
        <v>#VALUE!</v>
      </c>
      <c r="K39" s="936" t="e">
        <f t="shared" si="2"/>
        <v>#VALUE!</v>
      </c>
      <c r="L39" s="4277"/>
      <c r="M39" s="4277"/>
    </row>
    <row r="40" spans="2:14" ht="12.75" customHeight="1">
      <c r="B40" s="998"/>
      <c r="C40" s="999"/>
      <c r="D40" s="1000"/>
      <c r="E40" s="4960"/>
      <c r="F40" s="4961"/>
      <c r="G40" s="934" t="e">
        <f t="shared" si="0"/>
        <v>#VALUE!</v>
      </c>
      <c r="H40" s="935" t="e">
        <f t="shared" si="3"/>
        <v>#VALUE!</v>
      </c>
      <c r="I40" s="933"/>
      <c r="J40" s="936" t="e">
        <f t="shared" si="1"/>
        <v>#VALUE!</v>
      </c>
      <c r="K40" s="936" t="e">
        <f t="shared" si="2"/>
        <v>#VALUE!</v>
      </c>
      <c r="L40" s="4277"/>
      <c r="M40" s="4277"/>
    </row>
    <row r="41" spans="2:14" ht="12.75" customHeight="1">
      <c r="B41" s="998"/>
      <c r="C41" s="999"/>
      <c r="D41" s="1000"/>
      <c r="E41" s="4960"/>
      <c r="F41" s="4961"/>
      <c r="G41" s="934" t="e">
        <f t="shared" si="0"/>
        <v>#VALUE!</v>
      </c>
      <c r="H41" s="935" t="e">
        <f t="shared" si="3"/>
        <v>#VALUE!</v>
      </c>
      <c r="I41" s="933"/>
      <c r="J41" s="936" t="e">
        <f t="shared" si="1"/>
        <v>#VALUE!</v>
      </c>
      <c r="K41" s="936" t="e">
        <f t="shared" si="2"/>
        <v>#VALUE!</v>
      </c>
      <c r="L41" s="4277"/>
      <c r="M41" s="4277"/>
    </row>
    <row r="42" spans="2:14" ht="12.75" customHeight="1">
      <c r="B42" s="998"/>
      <c r="C42" s="999"/>
      <c r="D42" s="1000"/>
      <c r="E42" s="4960"/>
      <c r="F42" s="4961"/>
      <c r="G42" s="934" t="e">
        <f t="shared" si="0"/>
        <v>#VALUE!</v>
      </c>
      <c r="H42" s="935" t="e">
        <f>ROUNDUP(G42,0)</f>
        <v>#VALUE!</v>
      </c>
      <c r="I42" s="933"/>
      <c r="J42" s="936" t="e">
        <f t="shared" si="1"/>
        <v>#VALUE!</v>
      </c>
      <c r="K42" s="936" t="e">
        <f t="shared" si="2"/>
        <v>#VALUE!</v>
      </c>
      <c r="L42" s="4277"/>
      <c r="M42" s="4277"/>
    </row>
    <row r="43" spans="2:14" ht="12.75" customHeight="1">
      <c r="B43" s="998"/>
      <c r="C43" s="999"/>
      <c r="D43" s="1000"/>
      <c r="E43" s="4960"/>
      <c r="F43" s="4961"/>
      <c r="G43" s="934" t="e">
        <f t="shared" si="0"/>
        <v>#VALUE!</v>
      </c>
      <c r="H43" s="935" t="e">
        <f>ROUNDUP(G43,0)</f>
        <v>#VALUE!</v>
      </c>
      <c r="I43" s="933"/>
      <c r="J43" s="936" t="e">
        <f t="shared" si="1"/>
        <v>#VALUE!</v>
      </c>
      <c r="K43" s="936" t="e">
        <f t="shared" si="2"/>
        <v>#VALUE!</v>
      </c>
      <c r="L43" s="4277"/>
      <c r="M43" s="4277"/>
    </row>
    <row r="44" spans="2:14" ht="12.75" customHeight="1">
      <c r="B44" s="998"/>
      <c r="C44" s="999"/>
      <c r="D44" s="1000"/>
      <c r="E44" s="4960"/>
      <c r="F44" s="4961"/>
      <c r="G44" s="934" t="e">
        <f t="shared" si="0"/>
        <v>#VALUE!</v>
      </c>
      <c r="H44" s="935" t="e">
        <f>ROUNDUP(G44,0)</f>
        <v>#VALUE!</v>
      </c>
      <c r="I44" s="933"/>
      <c r="J44" s="936" t="e">
        <f t="shared" si="1"/>
        <v>#VALUE!</v>
      </c>
      <c r="K44" s="936" t="e">
        <f t="shared" si="2"/>
        <v>#VALUE!</v>
      </c>
      <c r="L44" s="4277"/>
      <c r="M44" s="4277"/>
    </row>
    <row r="45" spans="2:14" ht="12.75" customHeight="1">
      <c r="B45" s="998"/>
      <c r="C45" s="999"/>
      <c r="D45" s="1000"/>
      <c r="E45" s="4960"/>
      <c r="F45" s="4961"/>
      <c r="G45" s="934" t="e">
        <f t="shared" si="0"/>
        <v>#VALUE!</v>
      </c>
      <c r="H45" s="935" t="e">
        <f>ROUNDUP(G45,0)</f>
        <v>#VALUE!</v>
      </c>
      <c r="I45" s="933"/>
      <c r="J45" s="936" t="e">
        <f t="shared" si="1"/>
        <v>#VALUE!</v>
      </c>
      <c r="K45" s="936" t="e">
        <f t="shared" si="2"/>
        <v>#VALUE!</v>
      </c>
      <c r="L45" s="4277"/>
      <c r="M45" s="4277"/>
    </row>
    <row r="46" spans="2:14" ht="12.75" customHeight="1">
      <c r="B46" s="998"/>
      <c r="C46" s="999"/>
      <c r="D46" s="1000"/>
      <c r="E46" s="4960"/>
      <c r="F46" s="4961"/>
      <c r="G46" s="934" t="e">
        <f t="shared" si="0"/>
        <v>#VALUE!</v>
      </c>
      <c r="H46" s="935" t="e">
        <f t="shared" si="3"/>
        <v>#VALUE!</v>
      </c>
      <c r="I46" s="933"/>
      <c r="J46" s="936" t="e">
        <f t="shared" si="1"/>
        <v>#VALUE!</v>
      </c>
      <c r="K46" s="936" t="e">
        <f t="shared" si="2"/>
        <v>#VALUE!</v>
      </c>
      <c r="L46" s="4277"/>
      <c r="M46" s="4277"/>
    </row>
    <row r="47" spans="2:14" ht="12.75" customHeight="1">
      <c r="B47" s="998"/>
      <c r="C47" s="999"/>
      <c r="D47" s="1000"/>
      <c r="E47" s="4960"/>
      <c r="F47" s="4961"/>
      <c r="G47" s="934" t="e">
        <f t="shared" si="0"/>
        <v>#VALUE!</v>
      </c>
      <c r="H47" s="935" t="e">
        <f t="shared" si="3"/>
        <v>#VALUE!</v>
      </c>
      <c r="I47" s="933"/>
      <c r="J47" s="936" t="e">
        <f t="shared" si="1"/>
        <v>#VALUE!</v>
      </c>
      <c r="K47" s="936" t="e">
        <f t="shared" si="2"/>
        <v>#VALUE!</v>
      </c>
      <c r="L47" s="4277"/>
      <c r="M47" s="4277"/>
    </row>
    <row r="48" spans="2:14" ht="12.75" customHeight="1">
      <c r="B48" s="998"/>
      <c r="C48" s="999"/>
      <c r="D48" s="1000"/>
      <c r="E48" s="4960"/>
      <c r="F48" s="4961"/>
      <c r="G48" s="934" t="e">
        <f t="shared" si="0"/>
        <v>#VALUE!</v>
      </c>
      <c r="H48" s="935" t="e">
        <f>ROUNDUP(G48,0)</f>
        <v>#VALUE!</v>
      </c>
      <c r="I48" s="933"/>
      <c r="J48" s="936" t="e">
        <f t="shared" si="1"/>
        <v>#VALUE!</v>
      </c>
      <c r="K48" s="936" t="e">
        <f t="shared" si="2"/>
        <v>#VALUE!</v>
      </c>
      <c r="L48" s="4277"/>
      <c r="M48" s="4277"/>
    </row>
    <row r="49" spans="1:13" ht="12.75" customHeight="1">
      <c r="B49" s="998"/>
      <c r="C49" s="999"/>
      <c r="D49" s="1000"/>
      <c r="E49" s="4960"/>
      <c r="F49" s="4961"/>
      <c r="G49" s="934" t="e">
        <f t="shared" si="0"/>
        <v>#VALUE!</v>
      </c>
      <c r="H49" s="935" t="e">
        <f t="shared" si="3"/>
        <v>#VALUE!</v>
      </c>
      <c r="I49" s="933"/>
      <c r="J49" s="936" t="e">
        <f t="shared" si="1"/>
        <v>#VALUE!</v>
      </c>
      <c r="K49" s="936" t="e">
        <f t="shared" si="2"/>
        <v>#VALUE!</v>
      </c>
      <c r="L49" s="4277"/>
      <c r="M49" s="4277"/>
    </row>
    <row r="50" spans="1:13" ht="12.75" customHeight="1">
      <c r="B50" s="998"/>
      <c r="C50" s="999"/>
      <c r="D50" s="1000"/>
      <c r="E50" s="4960"/>
      <c r="F50" s="4961"/>
      <c r="G50" s="934" t="e">
        <f t="shared" si="0"/>
        <v>#VALUE!</v>
      </c>
      <c r="H50" s="935" t="e">
        <f t="shared" si="3"/>
        <v>#VALUE!</v>
      </c>
      <c r="I50" s="933"/>
      <c r="J50" s="936" t="e">
        <f t="shared" si="1"/>
        <v>#VALUE!</v>
      </c>
      <c r="K50" s="936" t="e">
        <f t="shared" si="2"/>
        <v>#VALUE!</v>
      </c>
      <c r="L50" s="4277"/>
      <c r="M50" s="4277"/>
    </row>
    <row r="51" spans="1:13" ht="12.75" customHeight="1" thickBot="1">
      <c r="B51" s="1001"/>
      <c r="C51" s="1002"/>
      <c r="D51" s="1003"/>
      <c r="E51" s="4969"/>
      <c r="F51" s="4970"/>
      <c r="G51" s="937" t="e">
        <f t="shared" si="0"/>
        <v>#VALUE!</v>
      </c>
      <c r="H51" s="938" t="e">
        <f t="shared" si="3"/>
        <v>#VALUE!</v>
      </c>
      <c r="I51" s="933"/>
      <c r="J51" s="939" t="e">
        <f t="shared" si="1"/>
        <v>#VALUE!</v>
      </c>
      <c r="K51" s="939" t="e">
        <f t="shared" si="2"/>
        <v>#VALUE!</v>
      </c>
      <c r="L51" s="4277"/>
      <c r="M51" s="4277"/>
    </row>
    <row r="52" spans="1:13" ht="15" customHeight="1" thickBot="1">
      <c r="B52" s="2849"/>
      <c r="D52" s="2841"/>
      <c r="E52" s="2841"/>
      <c r="F52" s="2841"/>
      <c r="G52" s="2850" t="s">
        <v>4619</v>
      </c>
      <c r="H52" s="924" t="e">
        <f>SUM(H33:H51)</f>
        <v>#VALUE!</v>
      </c>
      <c r="I52" s="2841"/>
      <c r="J52" s="2849" t="s">
        <v>4620</v>
      </c>
      <c r="K52" s="2851" t="e">
        <f>SUM(K33:K51)</f>
        <v>#VALUE!</v>
      </c>
      <c r="L52" s="4277"/>
      <c r="M52" s="4277"/>
    </row>
    <row r="53" spans="1:13" ht="15" customHeight="1">
      <c r="B53" s="2580"/>
      <c r="C53" s="4282" t="s">
        <v>4621</v>
      </c>
      <c r="D53" s="4282"/>
      <c r="E53" s="4282"/>
      <c r="F53" s="4282"/>
      <c r="G53" s="4282"/>
      <c r="H53" s="4282"/>
      <c r="I53" s="4282"/>
      <c r="J53" s="4283"/>
      <c r="K53" s="2852" t="str">
        <f>IF(J17="no",0,IF(J17="yes",J16,"Error"))</f>
        <v>Error</v>
      </c>
      <c r="L53" s="4277"/>
      <c r="M53" s="4277"/>
    </row>
    <row r="54" spans="1:13" ht="15" customHeight="1" thickBot="1">
      <c r="B54" s="2580"/>
      <c r="C54" s="4286" t="s">
        <v>4622</v>
      </c>
      <c r="D54" s="4286"/>
      <c r="E54" s="4286"/>
      <c r="F54" s="4286"/>
      <c r="G54" s="4286"/>
      <c r="H54" s="4286"/>
      <c r="I54" s="4286"/>
      <c r="J54" s="4287"/>
      <c r="K54" s="2853" t="e">
        <f>K52+K53</f>
        <v>#VALUE!</v>
      </c>
    </row>
    <row r="55" spans="1:13" ht="8.1" customHeight="1">
      <c r="A55" s="4288"/>
      <c r="B55" s="4289"/>
      <c r="C55" s="4289"/>
      <c r="D55" s="4289"/>
      <c r="E55" s="4289"/>
      <c r="F55" s="4289"/>
      <c r="G55" s="4289"/>
      <c r="H55" s="4289"/>
      <c r="I55" s="4289"/>
      <c r="J55" s="4289"/>
      <c r="K55" s="932"/>
    </row>
    <row r="56" spans="1:13" ht="15" customHeight="1">
      <c r="A56" s="4290" t="s">
        <v>4623</v>
      </c>
      <c r="B56" s="4291"/>
      <c r="C56" s="4291"/>
      <c r="D56" s="4291"/>
      <c r="E56" s="4291"/>
      <c r="F56" s="4291"/>
      <c r="G56" s="4291"/>
      <c r="H56" s="4291"/>
      <c r="I56" s="4291"/>
      <c r="J56" s="4291"/>
      <c r="K56" s="4292"/>
    </row>
    <row r="57" spans="1:13" ht="48" customHeight="1">
      <c r="A57" s="2854"/>
      <c r="B57" s="2855"/>
      <c r="C57" s="2856" t="s">
        <v>4624</v>
      </c>
      <c r="D57" s="989" t="s">
        <v>4625</v>
      </c>
      <c r="E57" s="4293" t="s">
        <v>4626</v>
      </c>
      <c r="F57" s="4294"/>
      <c r="G57" s="4962" t="s">
        <v>4627</v>
      </c>
      <c r="H57" s="4963"/>
      <c r="I57" s="4293" t="s">
        <v>4628</v>
      </c>
      <c r="J57" s="4294"/>
      <c r="K57" s="4297"/>
    </row>
    <row r="58" spans="1:13" ht="15" customHeight="1">
      <c r="A58" s="2579"/>
      <c r="B58" s="928"/>
      <c r="C58" s="2857">
        <f>SUMIF(C33:C51, "0", H33:H51)</f>
        <v>0</v>
      </c>
      <c r="D58" s="2858">
        <f t="shared" ref="D58:D63" si="4">ROUNDUP(C58*1.1,0)</f>
        <v>0</v>
      </c>
      <c r="E58" s="4299" t="s">
        <v>4630</v>
      </c>
      <c r="F58" s="4300"/>
      <c r="G58" s="4964">
        <f>'DCA Underwriting Assumptions'!H156</f>
        <v>181488</v>
      </c>
      <c r="H58" s="4965"/>
      <c r="I58" s="4303">
        <f t="shared" ref="I58:I63" si="5">D58*G58</f>
        <v>0</v>
      </c>
      <c r="J58" s="4303"/>
      <c r="K58" s="4298"/>
    </row>
    <row r="59" spans="1:13">
      <c r="A59" s="2579"/>
      <c r="B59" s="928"/>
      <c r="C59" s="917">
        <f>SUMIF(C33:C51, "1", H33:H51)</f>
        <v>0</v>
      </c>
      <c r="D59" s="990">
        <f t="shared" si="4"/>
        <v>0</v>
      </c>
      <c r="E59" s="4304" t="s">
        <v>4631</v>
      </c>
      <c r="F59" s="4305"/>
      <c r="G59" s="4956">
        <f>'DCA Underwriting Assumptions'!H157</f>
        <v>208048.8</v>
      </c>
      <c r="H59" s="4957"/>
      <c r="I59" s="4306">
        <f t="shared" si="5"/>
        <v>0</v>
      </c>
      <c r="J59" s="4306"/>
      <c r="K59" s="4298"/>
    </row>
    <row r="60" spans="1:13" ht="15" customHeight="1">
      <c r="A60" s="2579"/>
      <c r="B60" s="928"/>
      <c r="C60" s="917">
        <f>SUMIF(C33:C51, "2", H33:H51)</f>
        <v>0</v>
      </c>
      <c r="D60" s="990">
        <f t="shared" si="4"/>
        <v>0</v>
      </c>
      <c r="E60" s="4304" t="s">
        <v>4632</v>
      </c>
      <c r="F60" s="4305"/>
      <c r="G60" s="4956">
        <f>'DCA Underwriting Assumptions'!H158</f>
        <v>252993.59999999998</v>
      </c>
      <c r="H60" s="4957"/>
      <c r="I60" s="4306">
        <f t="shared" si="5"/>
        <v>0</v>
      </c>
      <c r="J60" s="4306"/>
      <c r="K60" s="4298"/>
    </row>
    <row r="61" spans="1:13">
      <c r="A61" s="2579"/>
      <c r="B61" s="928"/>
      <c r="C61" s="917">
        <f>SUMIF(C33:C51, "3", H33:H51)</f>
        <v>0</v>
      </c>
      <c r="D61" s="990">
        <f t="shared" si="4"/>
        <v>0</v>
      </c>
      <c r="E61" s="4304" t="s">
        <v>4633</v>
      </c>
      <c r="F61" s="4305"/>
      <c r="G61" s="4956">
        <f>'DCA Underwriting Assumptions'!H159</f>
        <v>327292.79999999999</v>
      </c>
      <c r="H61" s="4957"/>
      <c r="I61" s="4306">
        <f t="shared" si="5"/>
        <v>0</v>
      </c>
      <c r="J61" s="4306"/>
      <c r="K61" s="4298"/>
    </row>
    <row r="62" spans="1:13">
      <c r="A62" s="2579"/>
      <c r="B62" s="928"/>
      <c r="C62" s="917">
        <f>SUMIF(C33:C51, "4", H33:H51)</f>
        <v>0</v>
      </c>
      <c r="D62" s="990">
        <f t="shared" si="4"/>
        <v>0</v>
      </c>
      <c r="E62" s="4304" t="s">
        <v>4634</v>
      </c>
      <c r="F62" s="4305"/>
      <c r="G62" s="4956">
        <f>'DCA Underwriting Assumptions'!H160</f>
        <v>359263.2</v>
      </c>
      <c r="H62" s="4957"/>
      <c r="I62" s="4306">
        <f t="shared" si="5"/>
        <v>0</v>
      </c>
      <c r="J62" s="4306"/>
      <c r="K62" s="4298"/>
    </row>
    <row r="63" spans="1:13">
      <c r="A63" s="988"/>
      <c r="B63" s="929"/>
      <c r="C63" s="918">
        <f>SUMIF(C33:C51, "5", H33:H51)</f>
        <v>0</v>
      </c>
      <c r="D63" s="991">
        <f t="shared" si="4"/>
        <v>0</v>
      </c>
      <c r="E63" s="4308" t="s">
        <v>4635</v>
      </c>
      <c r="F63" s="4309"/>
      <c r="G63" s="4967">
        <f>'DCA Underwriting Assumptions'!H160</f>
        <v>359263.2</v>
      </c>
      <c r="H63" s="4968"/>
      <c r="I63" s="4310">
        <f t="shared" si="5"/>
        <v>0</v>
      </c>
      <c r="J63" s="4310"/>
      <c r="K63" s="931"/>
    </row>
    <row r="64" spans="1:13" ht="17.25" thickBot="1">
      <c r="A64" s="2859" t="s">
        <v>4636</v>
      </c>
      <c r="B64" s="2860">
        <f>SUM(C58:C63)</f>
        <v>0</v>
      </c>
      <c r="C64" s="2861"/>
      <c r="D64" s="2861">
        <f>SUM(D58:D63)</f>
        <v>0</v>
      </c>
      <c r="E64" s="2862"/>
      <c r="F64" s="2862"/>
      <c r="G64" s="2862"/>
      <c r="H64" s="2862"/>
      <c r="I64" s="2862"/>
      <c r="J64" s="2863" t="s">
        <v>4637</v>
      </c>
      <c r="K64" s="2864">
        <f>SUM(I58:I62)</f>
        <v>0</v>
      </c>
    </row>
    <row r="65" spans="1:11">
      <c r="A65" s="4289"/>
      <c r="B65" s="4289"/>
      <c r="C65" s="4289"/>
      <c r="D65" s="4289"/>
      <c r="E65" s="4289"/>
      <c r="F65" s="4289"/>
      <c r="G65" s="4289"/>
      <c r="H65" s="4289"/>
      <c r="I65" s="4289"/>
      <c r="J65" s="4289"/>
    </row>
    <row r="66" spans="1:11">
      <c r="A66" s="4290" t="s">
        <v>4638</v>
      </c>
      <c r="B66" s="4291"/>
      <c r="C66" s="4291"/>
      <c r="D66" s="4291"/>
      <c r="E66" s="4291"/>
      <c r="F66" s="4291"/>
      <c r="G66" s="4291"/>
      <c r="H66" s="4291"/>
      <c r="I66" s="4291"/>
      <c r="J66" s="4291"/>
      <c r="K66" s="4292"/>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7.25" thickBot="1">
      <c r="A69" s="927"/>
      <c r="B69" s="912"/>
      <c r="C69" s="912"/>
      <c r="D69" s="912"/>
      <c r="E69" s="912" t="s">
        <v>4641</v>
      </c>
      <c r="F69" s="912"/>
      <c r="G69" s="912"/>
      <c r="H69" s="912"/>
      <c r="I69" s="912"/>
      <c r="J69" s="929"/>
      <c r="K69" s="2868">
        <f>K64</f>
        <v>0</v>
      </c>
    </row>
    <row r="70" spans="1:11" ht="17.25" thickBot="1">
      <c r="A70" s="2869"/>
      <c r="B70" s="2870"/>
      <c r="C70" s="4307" t="s">
        <v>4642</v>
      </c>
      <c r="D70" s="4307"/>
      <c r="E70" s="4307"/>
      <c r="F70" s="4307"/>
      <c r="G70" s="4307"/>
      <c r="H70" s="4307"/>
      <c r="I70" s="4307"/>
      <c r="J70" s="4307"/>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J15:K15"/>
    <mergeCell ref="J14:K14"/>
    <mergeCell ref="J11:K11"/>
    <mergeCell ref="J8:K8"/>
    <mergeCell ref="J22:K22"/>
    <mergeCell ref="J20:K20"/>
    <mergeCell ref="J19:K19"/>
    <mergeCell ref="J17:K17"/>
    <mergeCell ref="J16:K16"/>
    <mergeCell ref="E51:F51"/>
    <mergeCell ref="E46:F46"/>
    <mergeCell ref="E47:F47"/>
    <mergeCell ref="E48:F48"/>
    <mergeCell ref="E49:F49"/>
    <mergeCell ref="E50:F50"/>
    <mergeCell ref="E41:F41"/>
    <mergeCell ref="E42:F42"/>
    <mergeCell ref="E43:F43"/>
    <mergeCell ref="E44:F44"/>
    <mergeCell ref="E45:F45"/>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A7:K7"/>
    <mergeCell ref="D3:I3"/>
    <mergeCell ref="D4:I4"/>
    <mergeCell ref="D5:I5"/>
    <mergeCell ref="J3:K3"/>
    <mergeCell ref="J4:K5"/>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140625" defaultRowHeight="12.75"/>
  <cols>
    <col min="1" max="1" width="3.42578125" style="306" customWidth="1"/>
    <col min="2" max="2" width="4.140625" style="306" customWidth="1"/>
    <col min="3" max="3" width="18.5703125" style="306" customWidth="1"/>
    <col min="4" max="4" width="2.85546875" style="306" customWidth="1"/>
    <col min="5" max="5" width="6.5703125" style="306" customWidth="1"/>
    <col min="6" max="6" width="39.140625" style="306" customWidth="1"/>
    <col min="7" max="8" width="8.42578125" style="306" customWidth="1"/>
    <col min="9" max="9" width="9.140625" style="306"/>
    <col min="10" max="10" width="14.140625" style="306" customWidth="1"/>
    <col min="11" max="16384" width="9.140625" style="306"/>
  </cols>
  <sheetData>
    <row r="1" spans="1:11">
      <c r="A1" s="401" t="s">
        <v>7464</v>
      </c>
      <c r="H1" s="446" t="str">
        <f>'Sensitivity Analysis'!C8</f>
        <v>Westchester Village II</v>
      </c>
    </row>
    <row r="2" spans="1:11">
      <c r="A2" s="401" t="s">
        <v>7465</v>
      </c>
      <c r="H2" s="306" t="str">
        <f>'Sensitivity Analysis'!E8</f>
        <v>2026-0xx</v>
      </c>
    </row>
    <row r="3" spans="1:11" ht="3" customHeight="1"/>
    <row r="4" spans="1:11" ht="51.75" customHeight="1">
      <c r="A4" s="4981" t="s">
        <v>7466</v>
      </c>
      <c r="B4" s="4981"/>
      <c r="C4" s="4981"/>
      <c r="D4" s="4981"/>
      <c r="E4" s="4981"/>
      <c r="F4" s="4981"/>
      <c r="G4" s="4981"/>
      <c r="H4" s="4981"/>
      <c r="J4" s="729">
        <f>SUM('Part VI-Pro Forma'!B15:B17)/12</f>
        <v>63766.789199999999</v>
      </c>
      <c r="K4" s="728" t="s">
        <v>7467</v>
      </c>
    </row>
    <row r="5" spans="1:11" ht="1.5" customHeight="1"/>
    <row r="6" spans="1:11" ht="12.75" customHeight="1">
      <c r="B6" s="465" t="s">
        <v>6477</v>
      </c>
      <c r="C6" s="4981" t="s">
        <v>7468</v>
      </c>
      <c r="D6" s="4981"/>
      <c r="E6" s="4981"/>
      <c r="F6" s="4981"/>
      <c r="G6" s="4981"/>
      <c r="H6" s="4981"/>
    </row>
    <row r="7" spans="1:11" ht="12.75" customHeight="1">
      <c r="B7" s="465" t="s">
        <v>6479</v>
      </c>
      <c r="C7" s="4981" t="s">
        <v>7469</v>
      </c>
      <c r="D7" s="4981"/>
      <c r="E7" s="4981"/>
      <c r="F7" s="4981"/>
      <c r="G7" s="4981"/>
      <c r="H7" s="4981"/>
    </row>
    <row r="8" spans="1:11" ht="3" customHeight="1"/>
    <row r="9" spans="1:11">
      <c r="A9" s="306" t="s">
        <v>7470</v>
      </c>
    </row>
    <row r="10" spans="1:11" ht="1.5" customHeight="1"/>
    <row r="11" spans="1:11" ht="26.25" customHeight="1">
      <c r="A11" s="466" t="s">
        <v>185</v>
      </c>
      <c r="B11" s="4983" t="s">
        <v>7471</v>
      </c>
      <c r="C11" s="4983"/>
      <c r="D11" s="4983"/>
      <c r="E11" s="4983"/>
      <c r="F11" s="4983"/>
      <c r="G11" s="4984">
        <f>'Part II-Sources of Funds'!I53+'Part II-Sources of Funds'!I54</f>
        <v>16332894</v>
      </c>
      <c r="H11" s="4984"/>
    </row>
    <row r="12" spans="1:11" ht="1.5" customHeight="1">
      <c r="G12" s="447"/>
      <c r="H12" s="447"/>
    </row>
    <row r="13" spans="1:11" ht="26.25" customHeight="1">
      <c r="A13" s="466" t="s">
        <v>197</v>
      </c>
      <c r="B13" s="4983" t="s">
        <v>7472</v>
      </c>
      <c r="C13" s="4983"/>
      <c r="D13" s="4983"/>
      <c r="E13" s="4983"/>
      <c r="F13" s="4983"/>
      <c r="G13" s="4985" t="s">
        <v>7390</v>
      </c>
      <c r="H13" s="4985"/>
    </row>
    <row r="14" spans="1:11" ht="12" hidden="1" customHeight="1">
      <c r="A14" s="466"/>
      <c r="B14" s="4949"/>
      <c r="C14" s="4949"/>
      <c r="D14" s="4949"/>
      <c r="E14" s="4949"/>
      <c r="F14" s="4949"/>
      <c r="G14" s="4949"/>
      <c r="H14" s="4949"/>
    </row>
    <row r="15" spans="1:11" ht="1.5" customHeight="1"/>
    <row r="16" spans="1:11" ht="12" customHeight="1">
      <c r="A16" s="466" t="s">
        <v>218</v>
      </c>
      <c r="B16" s="306" t="s">
        <v>7473</v>
      </c>
      <c r="G16" s="4986" t="s">
        <v>7474</v>
      </c>
      <c r="H16" s="4986"/>
    </row>
    <row r="17" spans="1:8" ht="1.5" customHeight="1">
      <c r="G17" s="450"/>
    </row>
    <row r="18" spans="1:8" ht="12" customHeight="1">
      <c r="A18" s="466" t="s">
        <v>220</v>
      </c>
      <c r="B18" s="447" t="s">
        <v>7475</v>
      </c>
      <c r="C18" s="466"/>
      <c r="D18" s="466"/>
      <c r="E18" s="466"/>
      <c r="G18" s="4949" t="s">
        <v>2103</v>
      </c>
      <c r="H18" s="4949"/>
    </row>
    <row r="19" spans="1:8" ht="12" hidden="1" customHeight="1">
      <c r="B19" s="4949"/>
      <c r="C19" s="4949"/>
      <c r="D19" s="4949"/>
      <c r="E19" s="4949"/>
      <c r="F19" s="4949"/>
      <c r="G19" s="4949"/>
      <c r="H19" s="4949"/>
    </row>
    <row r="20" spans="1:8" ht="13.5" customHeight="1"/>
    <row r="21" spans="1:8" ht="12" customHeight="1">
      <c r="A21" s="401" t="s">
        <v>7258</v>
      </c>
    </row>
    <row r="22" spans="1:8" ht="3" customHeight="1"/>
    <row r="23" spans="1:8" ht="24.75" customHeight="1">
      <c r="A23" s="4987" t="s">
        <v>7476</v>
      </c>
      <c r="B23" s="4987"/>
      <c r="C23" s="4987"/>
      <c r="D23" s="4987"/>
      <c r="E23" s="4987"/>
      <c r="F23" s="4987"/>
      <c r="G23" s="4987"/>
      <c r="H23" s="4987"/>
    </row>
    <row r="24" spans="1:8" ht="9" customHeight="1" thickBot="1">
      <c r="A24" s="443"/>
    </row>
    <row r="25" spans="1:8" ht="16.350000000000001" customHeight="1" thickBot="1">
      <c r="A25" s="4988">
        <v>20</v>
      </c>
      <c r="B25" s="4989"/>
      <c r="C25" s="982" t="s">
        <v>1212</v>
      </c>
    </row>
    <row r="26" spans="1:8" ht="9" customHeight="1">
      <c r="A26" s="443"/>
    </row>
    <row r="27" spans="1:8" ht="28.35" customHeight="1">
      <c r="A27" s="4981" t="s">
        <v>7477</v>
      </c>
      <c r="B27" s="4981"/>
      <c r="C27" s="4981"/>
      <c r="D27" s="4981"/>
      <c r="E27" s="4981"/>
      <c r="F27" s="4981"/>
      <c r="G27" s="4981"/>
      <c r="H27" s="4981"/>
    </row>
    <row r="28" spans="1:8" ht="9" customHeight="1">
      <c r="A28" s="443"/>
    </row>
    <row r="29" spans="1:8">
      <c r="A29" s="450" t="s">
        <v>7478</v>
      </c>
      <c r="B29" s="467" t="str">
        <f>IF('Part V-Revenues &amp; Expenses'!$K$71=0,"",'Part V-Revenues &amp; Expenses'!$K$71)</f>
        <v/>
      </c>
      <c r="C29" s="450" t="s">
        <v>7479</v>
      </c>
      <c r="D29" s="468" t="s">
        <v>7480</v>
      </c>
    </row>
    <row r="30" spans="1:8" ht="2.1" customHeight="1"/>
    <row r="31" spans="1:8" ht="12.75" customHeight="1">
      <c r="C31" s="447" t="s">
        <v>7481</v>
      </c>
      <c r="D31" s="469" t="s">
        <v>200</v>
      </c>
      <c r="E31" s="470"/>
      <c r="F31" s="4981" t="s">
        <v>7482</v>
      </c>
      <c r="G31" s="4981"/>
      <c r="H31" s="4981"/>
    </row>
    <row r="32" spans="1:8" ht="12.75" customHeight="1">
      <c r="C32" s="471" t="s">
        <v>326</v>
      </c>
      <c r="D32" s="469" t="s">
        <v>208</v>
      </c>
      <c r="E32" s="4981" t="s">
        <v>7483</v>
      </c>
      <c r="F32" s="4981"/>
      <c r="G32" s="4981"/>
      <c r="H32" s="4981"/>
    </row>
    <row r="33" spans="1:11" ht="12.75" customHeight="1">
      <c r="C33" s="2630" t="s">
        <v>7484</v>
      </c>
      <c r="E33" s="4981" t="s">
        <v>7485</v>
      </c>
      <c r="F33" s="4981"/>
      <c r="G33" s="4981"/>
      <c r="H33" s="4981"/>
    </row>
    <row r="34" spans="1:11" ht="12.75" customHeight="1">
      <c r="C34" s="981"/>
      <c r="D34" s="980" t="s">
        <v>6814</v>
      </c>
      <c r="E34" s="4982" t="s">
        <v>7486</v>
      </c>
      <c r="F34" s="4982"/>
      <c r="G34" s="4982"/>
      <c r="H34" s="4982"/>
    </row>
    <row r="35" spans="1:11" ht="3" customHeight="1">
      <c r="D35" s="469"/>
      <c r="E35" s="2635"/>
      <c r="F35" s="2635"/>
      <c r="G35" s="2635"/>
      <c r="H35" s="2635"/>
    </row>
    <row r="36" spans="1:11" ht="12.75" customHeight="1">
      <c r="C36" s="447" t="s">
        <v>7481</v>
      </c>
      <c r="D36" s="469" t="s">
        <v>200</v>
      </c>
      <c r="E36" s="470"/>
      <c r="F36" s="466" t="s">
        <v>7482</v>
      </c>
      <c r="G36" s="466"/>
      <c r="H36" s="466"/>
    </row>
    <row r="37" spans="1:11" ht="12.75" customHeight="1">
      <c r="C37" s="471" t="s">
        <v>326</v>
      </c>
      <c r="D37" s="469" t="s">
        <v>208</v>
      </c>
      <c r="E37" s="4981" t="s">
        <v>7483</v>
      </c>
      <c r="F37" s="4981"/>
      <c r="G37" s="4981"/>
      <c r="H37" s="4981"/>
    </row>
    <row r="38" spans="1:11" ht="12.75" customHeight="1">
      <c r="C38" s="2630" t="s">
        <v>7484</v>
      </c>
      <c r="E38" s="4981" t="s">
        <v>7485</v>
      </c>
      <c r="F38" s="4981"/>
      <c r="G38" s="4981"/>
      <c r="H38" s="4981"/>
    </row>
    <row r="39" spans="1:11" ht="12.75" customHeight="1">
      <c r="C39" s="981"/>
      <c r="D39" s="980" t="s">
        <v>6814</v>
      </c>
      <c r="E39" s="4982" t="s">
        <v>7486</v>
      </c>
      <c r="F39" s="4982"/>
      <c r="G39" s="4982"/>
      <c r="H39" s="4982"/>
    </row>
    <row r="40" spans="1:11" ht="3" customHeight="1">
      <c r="D40" s="469"/>
      <c r="E40" s="2635"/>
      <c r="F40" s="2635"/>
      <c r="G40" s="2635"/>
      <c r="H40" s="2635"/>
    </row>
    <row r="41" spans="1:11" ht="12.75" customHeight="1">
      <c r="C41" s="447" t="s">
        <v>7481</v>
      </c>
      <c r="D41" s="469" t="s">
        <v>200</v>
      </c>
      <c r="E41" s="470"/>
      <c r="F41" s="466" t="s">
        <v>7482</v>
      </c>
      <c r="G41" s="466"/>
      <c r="H41" s="466"/>
    </row>
    <row r="42" spans="1:11" ht="12.75" customHeight="1">
      <c r="C42" s="471" t="s">
        <v>326</v>
      </c>
      <c r="D42" s="469" t="s">
        <v>208</v>
      </c>
      <c r="E42" s="4981" t="s">
        <v>7483</v>
      </c>
      <c r="F42" s="4981"/>
      <c r="G42" s="4981"/>
      <c r="H42" s="4981"/>
    </row>
    <row r="43" spans="1:11" ht="12.75" customHeight="1">
      <c r="C43" s="2630" t="s">
        <v>7484</v>
      </c>
      <c r="E43" s="4981" t="s">
        <v>7485</v>
      </c>
      <c r="F43" s="4981"/>
      <c r="G43" s="4981"/>
      <c r="H43" s="4981"/>
    </row>
    <row r="44" spans="1:11" ht="12.75" customHeight="1">
      <c r="C44" s="981"/>
      <c r="D44" s="980" t="s">
        <v>6814</v>
      </c>
      <c r="E44" s="4982" t="s">
        <v>7486</v>
      </c>
      <c r="F44" s="4982"/>
      <c r="G44" s="4982"/>
      <c r="H44" s="4982"/>
    </row>
    <row r="45" spans="1:11" ht="6" customHeight="1">
      <c r="D45" s="469"/>
      <c r="E45" s="2635"/>
      <c r="F45" s="2635"/>
      <c r="G45" s="2635"/>
      <c r="H45" s="2635"/>
    </row>
    <row r="46" spans="1:11">
      <c r="A46" s="450" t="s">
        <v>7478</v>
      </c>
      <c r="B46" s="467" t="str">
        <f>IF('Part V-Revenues &amp; Expenses'!$L$71=0,"",'Part V-Revenues &amp; Expenses'!$L$71)</f>
        <v/>
      </c>
      <c r="C46" s="450" t="s">
        <v>7487</v>
      </c>
      <c r="D46" s="468" t="s">
        <v>7488</v>
      </c>
    </row>
    <row r="47" spans="1:11" ht="2.1" customHeight="1">
      <c r="K47" s="2631"/>
    </row>
    <row r="48" spans="1:11" ht="12.75" customHeight="1">
      <c r="C48" s="447" t="s">
        <v>7481</v>
      </c>
      <c r="D48" s="469" t="s">
        <v>200</v>
      </c>
      <c r="E48" s="470"/>
      <c r="F48" s="466" t="s">
        <v>7482</v>
      </c>
      <c r="G48" s="466"/>
      <c r="H48" s="466"/>
      <c r="K48" s="2631"/>
    </row>
    <row r="49" spans="1:11" ht="12.75" customHeight="1">
      <c r="C49" s="471" t="s">
        <v>326</v>
      </c>
      <c r="D49" s="469" t="s">
        <v>208</v>
      </c>
      <c r="E49" s="4981" t="s">
        <v>7483</v>
      </c>
      <c r="F49" s="4981"/>
      <c r="G49" s="4981"/>
      <c r="H49" s="4981"/>
      <c r="K49" s="2631"/>
    </row>
    <row r="50" spans="1:11" ht="12.75" customHeight="1">
      <c r="C50" s="2630" t="s">
        <v>7484</v>
      </c>
      <c r="E50" s="4981" t="s">
        <v>7485</v>
      </c>
      <c r="F50" s="4981"/>
      <c r="G50" s="4981"/>
      <c r="H50" s="4981"/>
    </row>
    <row r="51" spans="1:11" ht="12.75" customHeight="1">
      <c r="C51" s="981"/>
      <c r="D51" s="472" t="s">
        <v>6814</v>
      </c>
      <c r="E51" s="4981" t="s">
        <v>7486</v>
      </c>
      <c r="F51" s="4981"/>
      <c r="G51" s="4981"/>
      <c r="H51" s="4981"/>
    </row>
    <row r="52" spans="1:11" ht="3" customHeight="1">
      <c r="D52" s="469"/>
      <c r="E52" s="2635"/>
      <c r="F52" s="2635"/>
      <c r="G52" s="2635"/>
      <c r="H52" s="2635"/>
    </row>
    <row r="53" spans="1:11" ht="12.75" customHeight="1">
      <c r="C53" s="447" t="s">
        <v>7481</v>
      </c>
      <c r="D53" s="469" t="s">
        <v>200</v>
      </c>
      <c r="E53" s="470"/>
      <c r="F53" s="466" t="s">
        <v>7482</v>
      </c>
      <c r="G53" s="466"/>
      <c r="H53" s="466"/>
    </row>
    <row r="54" spans="1:11" ht="12.75" customHeight="1">
      <c r="C54" s="471" t="s">
        <v>326</v>
      </c>
      <c r="D54" s="469" t="s">
        <v>208</v>
      </c>
      <c r="E54" s="4981" t="s">
        <v>7483</v>
      </c>
      <c r="F54" s="4981"/>
      <c r="G54" s="4981"/>
      <c r="H54" s="4981"/>
    </row>
    <row r="55" spans="1:11" ht="12.75" customHeight="1">
      <c r="C55" s="2630" t="s">
        <v>7484</v>
      </c>
      <c r="E55" s="4981" t="s">
        <v>7485</v>
      </c>
      <c r="F55" s="4981"/>
      <c r="G55" s="4981"/>
      <c r="H55" s="4981"/>
    </row>
    <row r="56" spans="1:11" ht="12.75" customHeight="1">
      <c r="C56" s="981"/>
      <c r="D56" s="980" t="s">
        <v>6814</v>
      </c>
      <c r="E56" s="4982" t="s">
        <v>7486</v>
      </c>
      <c r="F56" s="4982"/>
      <c r="G56" s="4982"/>
      <c r="H56" s="4982"/>
    </row>
    <row r="57" spans="1:11" ht="3" customHeight="1">
      <c r="D57" s="469"/>
      <c r="E57" s="2635"/>
      <c r="F57" s="2635"/>
      <c r="G57" s="2635"/>
      <c r="H57" s="2635"/>
    </row>
    <row r="58" spans="1:11" ht="12.75" customHeight="1">
      <c r="C58" s="447" t="s">
        <v>7481</v>
      </c>
      <c r="D58" s="469" t="s">
        <v>200</v>
      </c>
      <c r="E58" s="470"/>
      <c r="F58" s="466" t="s">
        <v>7482</v>
      </c>
      <c r="G58" s="466"/>
      <c r="H58" s="466"/>
    </row>
    <row r="59" spans="1:11" ht="12.75" customHeight="1">
      <c r="C59" s="471" t="s">
        <v>326</v>
      </c>
      <c r="D59" s="469" t="s">
        <v>208</v>
      </c>
      <c r="E59" s="4981" t="s">
        <v>7483</v>
      </c>
      <c r="F59" s="4981"/>
      <c r="G59" s="4981"/>
      <c r="H59" s="4981"/>
    </row>
    <row r="60" spans="1:11" ht="12.75" customHeight="1">
      <c r="C60" s="2630" t="s">
        <v>7484</v>
      </c>
      <c r="E60" s="4981" t="s">
        <v>7485</v>
      </c>
      <c r="F60" s="4981"/>
      <c r="G60" s="4981"/>
      <c r="H60" s="4981"/>
    </row>
    <row r="61" spans="1:11" ht="12.75" customHeight="1">
      <c r="C61" s="981"/>
      <c r="D61" s="980" t="s">
        <v>6814</v>
      </c>
      <c r="E61" s="4982" t="s">
        <v>7486</v>
      </c>
      <c r="F61" s="4982"/>
      <c r="G61" s="4982"/>
      <c r="H61" s="4982"/>
    </row>
    <row r="62" spans="1:11" ht="6" customHeight="1">
      <c r="D62" s="469"/>
      <c r="E62" s="2635"/>
      <c r="F62" s="2635"/>
      <c r="G62" s="2635"/>
      <c r="H62" s="2635"/>
    </row>
    <row r="63" spans="1:11">
      <c r="A63" s="450" t="s">
        <v>7478</v>
      </c>
      <c r="B63" s="467" t="str">
        <f>IF('Part V-Revenues &amp; Expenses'!$M$71=0,"",'Part V-Revenues &amp; Expenses'!$M$71)</f>
        <v/>
      </c>
      <c r="C63" s="450" t="s">
        <v>7489</v>
      </c>
      <c r="D63" s="468" t="s">
        <v>7490</v>
      </c>
    </row>
    <row r="64" spans="1:11" ht="2.1" customHeight="1"/>
    <row r="65" spans="1:8" ht="12.75" customHeight="1">
      <c r="C65" s="447" t="s">
        <v>7481</v>
      </c>
      <c r="D65" s="469" t="s">
        <v>200</v>
      </c>
      <c r="E65" s="470"/>
      <c r="F65" s="466" t="s">
        <v>7482</v>
      </c>
      <c r="G65" s="466"/>
      <c r="H65" s="466"/>
    </row>
    <row r="66" spans="1:8" ht="12.75" customHeight="1">
      <c r="C66" s="471" t="s">
        <v>326</v>
      </c>
      <c r="D66" s="469" t="s">
        <v>208</v>
      </c>
      <c r="E66" s="4981" t="s">
        <v>7483</v>
      </c>
      <c r="F66" s="4981"/>
      <c r="G66" s="4981"/>
      <c r="H66" s="4981"/>
    </row>
    <row r="67" spans="1:8" ht="12.75" customHeight="1">
      <c r="C67" s="2630" t="s">
        <v>7484</v>
      </c>
      <c r="E67" s="4981" t="s">
        <v>7485</v>
      </c>
      <c r="F67" s="4981"/>
      <c r="G67" s="4981"/>
      <c r="H67" s="4981"/>
    </row>
    <row r="68" spans="1:8" ht="12.75" customHeight="1">
      <c r="C68" s="981"/>
      <c r="D68" s="472" t="s">
        <v>6814</v>
      </c>
      <c r="E68" s="4981" t="s">
        <v>7486</v>
      </c>
      <c r="F68" s="4981"/>
      <c r="G68" s="4981"/>
      <c r="H68" s="4981"/>
    </row>
    <row r="69" spans="1:8" ht="3" customHeight="1">
      <c r="D69" s="469"/>
      <c r="E69" s="2635"/>
      <c r="F69" s="2635"/>
      <c r="G69" s="2635"/>
      <c r="H69" s="2635"/>
    </row>
    <row r="70" spans="1:8" ht="12.75" customHeight="1">
      <c r="C70" s="447" t="s">
        <v>7481</v>
      </c>
      <c r="D70" s="469" t="s">
        <v>200</v>
      </c>
      <c r="E70" s="470"/>
      <c r="F70" s="466" t="s">
        <v>7482</v>
      </c>
      <c r="G70" s="466"/>
      <c r="H70" s="466"/>
    </row>
    <row r="71" spans="1:8" ht="12.75" customHeight="1">
      <c r="C71" s="471" t="s">
        <v>326</v>
      </c>
      <c r="D71" s="469" t="s">
        <v>208</v>
      </c>
      <c r="E71" s="4981" t="s">
        <v>7483</v>
      </c>
      <c r="F71" s="4981"/>
      <c r="G71" s="4981"/>
      <c r="H71" s="4981"/>
    </row>
    <row r="72" spans="1:8" ht="12.75" customHeight="1">
      <c r="C72" s="2630" t="s">
        <v>7484</v>
      </c>
      <c r="E72" s="4981" t="s">
        <v>7485</v>
      </c>
      <c r="F72" s="4981"/>
      <c r="G72" s="4981"/>
      <c r="H72" s="4981"/>
    </row>
    <row r="73" spans="1:8" ht="12.75" customHeight="1">
      <c r="C73" s="981"/>
      <c r="D73" s="980" t="s">
        <v>6814</v>
      </c>
      <c r="E73" s="4982" t="s">
        <v>7486</v>
      </c>
      <c r="F73" s="4982"/>
      <c r="G73" s="4982"/>
      <c r="H73" s="4982"/>
    </row>
    <row r="74" spans="1:8" ht="3" customHeight="1">
      <c r="D74" s="469"/>
      <c r="E74" s="2635"/>
      <c r="F74" s="2635"/>
      <c r="G74" s="2635"/>
      <c r="H74" s="2635"/>
    </row>
    <row r="75" spans="1:8" ht="12.75" customHeight="1">
      <c r="C75" s="447" t="s">
        <v>7481</v>
      </c>
      <c r="D75" s="469" t="s">
        <v>200</v>
      </c>
      <c r="E75" s="470"/>
      <c r="F75" s="466" t="s">
        <v>7482</v>
      </c>
      <c r="G75" s="466"/>
      <c r="H75" s="466"/>
    </row>
    <row r="76" spans="1:8" ht="12.75" customHeight="1">
      <c r="C76" s="471" t="s">
        <v>326</v>
      </c>
      <c r="D76" s="469" t="s">
        <v>208</v>
      </c>
      <c r="E76" s="4981" t="s">
        <v>7483</v>
      </c>
      <c r="F76" s="4981"/>
      <c r="G76" s="4981"/>
      <c r="H76" s="4981"/>
    </row>
    <row r="77" spans="1:8" ht="12.75" customHeight="1">
      <c r="C77" s="2630" t="s">
        <v>7484</v>
      </c>
      <c r="E77" s="4981" t="s">
        <v>7485</v>
      </c>
      <c r="F77" s="4981"/>
      <c r="G77" s="4981"/>
      <c r="H77" s="4981"/>
    </row>
    <row r="78" spans="1:8" ht="12.75" customHeight="1">
      <c r="C78" s="981"/>
      <c r="D78" s="980" t="s">
        <v>6814</v>
      </c>
      <c r="E78" s="4982" t="s">
        <v>7486</v>
      </c>
      <c r="F78" s="4982"/>
      <c r="G78" s="4982"/>
      <c r="H78" s="4982"/>
    </row>
    <row r="79" spans="1:8" ht="6" customHeight="1">
      <c r="D79" s="469"/>
      <c r="E79" s="2635"/>
      <c r="F79" s="2635"/>
      <c r="G79" s="2635"/>
      <c r="H79" s="2635"/>
    </row>
    <row r="80" spans="1:8">
      <c r="A80" s="450" t="s">
        <v>7478</v>
      </c>
      <c r="B80" s="467" t="str">
        <f>IF('Part V-Revenues &amp; Expenses'!$N$71=0,"",'Part V-Revenues &amp; Expenses'!$N$71)</f>
        <v/>
      </c>
      <c r="C80" s="450" t="s">
        <v>7491</v>
      </c>
      <c r="D80" s="468" t="s">
        <v>7492</v>
      </c>
    </row>
    <row r="81" spans="3:8" ht="2.1" customHeight="1"/>
    <row r="82" spans="3:8" ht="12.75" customHeight="1">
      <c r="C82" s="447" t="s">
        <v>7481</v>
      </c>
      <c r="D82" s="469" t="s">
        <v>200</v>
      </c>
      <c r="E82" s="470"/>
      <c r="F82" s="466" t="s">
        <v>7482</v>
      </c>
      <c r="G82" s="466"/>
      <c r="H82" s="466"/>
    </row>
    <row r="83" spans="3:8" ht="12.75" customHeight="1">
      <c r="C83" s="471" t="s">
        <v>326</v>
      </c>
      <c r="D83" s="469" t="s">
        <v>208</v>
      </c>
      <c r="E83" s="4981" t="s">
        <v>7483</v>
      </c>
      <c r="F83" s="4981"/>
      <c r="G83" s="4981"/>
      <c r="H83" s="4981"/>
    </row>
    <row r="84" spans="3:8" ht="12.75" customHeight="1">
      <c r="C84" s="2630" t="s">
        <v>7484</v>
      </c>
      <c r="E84" s="4981" t="s">
        <v>7485</v>
      </c>
      <c r="F84" s="4981"/>
      <c r="G84" s="4981"/>
      <c r="H84" s="4981"/>
    </row>
    <row r="85" spans="3:8" ht="12.75" customHeight="1">
      <c r="C85" s="981"/>
      <c r="D85" s="472" t="s">
        <v>6814</v>
      </c>
      <c r="E85" s="4981" t="s">
        <v>7486</v>
      </c>
      <c r="F85" s="4981"/>
      <c r="G85" s="4981"/>
      <c r="H85" s="4981"/>
    </row>
    <row r="86" spans="3:8" ht="3" customHeight="1">
      <c r="D86" s="469"/>
      <c r="E86" s="2635"/>
      <c r="F86" s="2635"/>
      <c r="G86" s="2635"/>
      <c r="H86" s="2635"/>
    </row>
    <row r="87" spans="3:8" ht="12.75" customHeight="1">
      <c r="C87" s="447" t="s">
        <v>7481</v>
      </c>
      <c r="D87" s="469" t="s">
        <v>200</v>
      </c>
      <c r="E87" s="470"/>
      <c r="F87" s="466" t="s">
        <v>7482</v>
      </c>
      <c r="G87" s="466"/>
      <c r="H87" s="466"/>
    </row>
    <row r="88" spans="3:8" ht="12.75" customHeight="1">
      <c r="C88" s="471" t="s">
        <v>326</v>
      </c>
      <c r="D88" s="469" t="s">
        <v>208</v>
      </c>
      <c r="E88" s="4981" t="s">
        <v>7483</v>
      </c>
      <c r="F88" s="4981"/>
      <c r="G88" s="4981"/>
      <c r="H88" s="4981"/>
    </row>
    <row r="89" spans="3:8" ht="12.75" customHeight="1">
      <c r="C89" s="2630" t="s">
        <v>7484</v>
      </c>
      <c r="E89" s="4981" t="s">
        <v>7485</v>
      </c>
      <c r="F89" s="4981"/>
      <c r="G89" s="4981"/>
      <c r="H89" s="4981"/>
    </row>
    <row r="90" spans="3:8" ht="12.75" customHeight="1">
      <c r="C90" s="981"/>
      <c r="D90" s="980" t="s">
        <v>6814</v>
      </c>
      <c r="E90" s="4982" t="s">
        <v>7486</v>
      </c>
      <c r="F90" s="4982"/>
      <c r="G90" s="4982"/>
      <c r="H90" s="4982"/>
    </row>
    <row r="91" spans="3:8" ht="3" customHeight="1">
      <c r="D91" s="469"/>
      <c r="E91" s="2635"/>
      <c r="F91" s="2635"/>
      <c r="G91" s="2635"/>
      <c r="H91" s="2635"/>
    </row>
    <row r="92" spans="3:8" ht="12.75" customHeight="1">
      <c r="C92" s="447" t="s">
        <v>7481</v>
      </c>
      <c r="D92" s="469" t="s">
        <v>200</v>
      </c>
      <c r="E92" s="470"/>
      <c r="F92" s="466" t="s">
        <v>7482</v>
      </c>
      <c r="G92" s="466"/>
      <c r="H92" s="466"/>
    </row>
    <row r="93" spans="3:8" ht="12.75" customHeight="1">
      <c r="C93" s="471" t="s">
        <v>326</v>
      </c>
      <c r="D93" s="469" t="s">
        <v>208</v>
      </c>
      <c r="E93" s="4981" t="s">
        <v>7483</v>
      </c>
      <c r="F93" s="4981"/>
      <c r="G93" s="4981"/>
      <c r="H93" s="4981"/>
    </row>
    <row r="94" spans="3:8" ht="12.75" customHeight="1">
      <c r="C94" s="2630" t="s">
        <v>7484</v>
      </c>
      <c r="E94" s="4981" t="s">
        <v>7485</v>
      </c>
      <c r="F94" s="4981"/>
      <c r="G94" s="4981"/>
      <c r="H94" s="4981"/>
    </row>
    <row r="95" spans="3:8" ht="12.75" customHeight="1">
      <c r="C95" s="981"/>
      <c r="D95" s="980" t="s">
        <v>6814</v>
      </c>
      <c r="E95" s="4982" t="s">
        <v>7486</v>
      </c>
      <c r="F95" s="4982"/>
      <c r="G95" s="4982"/>
      <c r="H95" s="4982"/>
    </row>
    <row r="96" spans="3:8" ht="6" customHeight="1">
      <c r="D96" s="469"/>
      <c r="E96" s="2635"/>
      <c r="F96" s="2635"/>
      <c r="G96" s="2635"/>
      <c r="H96" s="2635"/>
    </row>
    <row r="97" spans="1:11">
      <c r="A97" s="450" t="s">
        <v>7478</v>
      </c>
      <c r="B97" s="467" t="str">
        <f>IF('Part V-Revenues &amp; Expenses'!$O$71=0,"",'Part V-Revenues &amp; Expenses'!$O$71)</f>
        <v/>
      </c>
      <c r="C97" s="450" t="s">
        <v>7493</v>
      </c>
      <c r="D97" s="468" t="s">
        <v>7494</v>
      </c>
    </row>
    <row r="98" spans="1:11" ht="2.1" customHeight="1"/>
    <row r="99" spans="1:11" ht="12.75" customHeight="1">
      <c r="C99" s="447" t="s">
        <v>7481</v>
      </c>
      <c r="D99" s="469" t="s">
        <v>200</v>
      </c>
      <c r="E99" s="470"/>
      <c r="F99" s="4981" t="s">
        <v>7482</v>
      </c>
      <c r="G99" s="4981"/>
      <c r="H99" s="4981"/>
      <c r="K99" s="306" t="s">
        <v>7021</v>
      </c>
    </row>
    <row r="100" spans="1:11" ht="12.75" customHeight="1">
      <c r="C100" s="471" t="s">
        <v>326</v>
      </c>
      <c r="D100" s="469" t="s">
        <v>208</v>
      </c>
      <c r="E100" s="4981" t="s">
        <v>7495</v>
      </c>
      <c r="F100" s="4981"/>
      <c r="G100" s="4981"/>
      <c r="H100" s="4981"/>
    </row>
    <row r="101" spans="1:11" ht="12.75" customHeight="1">
      <c r="E101" s="4981" t="s">
        <v>7485</v>
      </c>
      <c r="F101" s="4981"/>
      <c r="G101" s="4981"/>
      <c r="H101" s="4981"/>
    </row>
    <row r="102" spans="1:11" ht="12.75" customHeight="1">
      <c r="D102" s="472" t="s">
        <v>6814</v>
      </c>
      <c r="E102" s="4981" t="s">
        <v>7486</v>
      </c>
      <c r="F102" s="4981"/>
      <c r="G102" s="4981"/>
      <c r="H102" s="4981"/>
    </row>
    <row r="103" spans="1:11" ht="9" customHeight="1" thickBot="1"/>
    <row r="104" spans="1:11" ht="16.350000000000001" customHeight="1" thickBot="1">
      <c r="A104" s="4988">
        <v>30</v>
      </c>
      <c r="B104" s="4989"/>
      <c r="C104" s="982" t="s">
        <v>1212</v>
      </c>
    </row>
    <row r="105" spans="1:11" ht="9" customHeight="1">
      <c r="A105" s="443"/>
    </row>
    <row r="106" spans="1:11" ht="28.35" customHeight="1">
      <c r="A106" s="4981" t="s">
        <v>7496</v>
      </c>
      <c r="B106" s="4981"/>
      <c r="C106" s="4981"/>
      <c r="D106" s="4981"/>
      <c r="E106" s="4981"/>
      <c r="F106" s="4981"/>
      <c r="G106" s="4981"/>
      <c r="H106" s="4981"/>
    </row>
    <row r="107" spans="1:11" ht="9" customHeight="1">
      <c r="A107" s="443"/>
    </row>
    <row r="108" spans="1:11">
      <c r="A108" s="450" t="s">
        <v>7478</v>
      </c>
      <c r="B108" s="467" t="str">
        <f>IF('Part V-Revenues &amp; Expenses'!$K$70=0,"",'Part V-Revenues &amp; Expenses'!$K$70)</f>
        <v/>
      </c>
      <c r="C108" s="450" t="s">
        <v>7479</v>
      </c>
      <c r="D108" s="468" t="s">
        <v>7480</v>
      </c>
    </row>
    <row r="109" spans="1:11" ht="2.1" customHeight="1"/>
    <row r="110" spans="1:11" ht="12.75" customHeight="1">
      <c r="C110" s="447" t="s">
        <v>7481</v>
      </c>
      <c r="D110" s="469" t="s">
        <v>200</v>
      </c>
      <c r="E110" s="470"/>
      <c r="F110" s="4981" t="s">
        <v>7482</v>
      </c>
      <c r="G110" s="4981"/>
      <c r="H110" s="4981"/>
    </row>
    <row r="111" spans="1:11" ht="12.75" customHeight="1">
      <c r="C111" s="471" t="s">
        <v>326</v>
      </c>
      <c r="D111" s="469" t="s">
        <v>208</v>
      </c>
      <c r="E111" s="4981" t="s">
        <v>7483</v>
      </c>
      <c r="F111" s="4981"/>
      <c r="G111" s="4981"/>
      <c r="H111" s="4981"/>
    </row>
    <row r="112" spans="1:11" ht="12.75" customHeight="1">
      <c r="C112" s="2630" t="s">
        <v>7484</v>
      </c>
      <c r="E112" s="4981" t="s">
        <v>7485</v>
      </c>
      <c r="F112" s="4981"/>
      <c r="G112" s="4981"/>
      <c r="H112" s="4981"/>
    </row>
    <row r="113" spans="1:8" ht="12.75" customHeight="1">
      <c r="C113" s="981"/>
      <c r="D113" s="980" t="s">
        <v>6814</v>
      </c>
      <c r="E113" s="4982" t="s">
        <v>7486</v>
      </c>
      <c r="F113" s="4982"/>
      <c r="G113" s="4982"/>
      <c r="H113" s="4982"/>
    </row>
    <row r="114" spans="1:8" ht="3" customHeight="1">
      <c r="D114" s="469"/>
      <c r="E114" s="2635"/>
      <c r="F114" s="2635"/>
      <c r="G114" s="2635"/>
      <c r="H114" s="2635"/>
    </row>
    <row r="115" spans="1:8" ht="12.75" customHeight="1">
      <c r="C115" s="447" t="s">
        <v>7481</v>
      </c>
      <c r="D115" s="469" t="s">
        <v>200</v>
      </c>
      <c r="E115" s="470"/>
      <c r="F115" s="466" t="s">
        <v>7482</v>
      </c>
      <c r="G115" s="466"/>
      <c r="H115" s="466"/>
    </row>
    <row r="116" spans="1:8" ht="12.75" customHeight="1">
      <c r="C116" s="471" t="s">
        <v>326</v>
      </c>
      <c r="D116" s="469" t="s">
        <v>208</v>
      </c>
      <c r="E116" s="4981" t="s">
        <v>7483</v>
      </c>
      <c r="F116" s="4981"/>
      <c r="G116" s="4981"/>
      <c r="H116" s="4981"/>
    </row>
    <row r="117" spans="1:8" ht="12.75" customHeight="1">
      <c r="C117" s="2630" t="s">
        <v>7484</v>
      </c>
      <c r="E117" s="4981" t="s">
        <v>7485</v>
      </c>
      <c r="F117" s="4981"/>
      <c r="G117" s="4981"/>
      <c r="H117" s="4981"/>
    </row>
    <row r="118" spans="1:8" ht="12.75" customHeight="1">
      <c r="C118" s="981"/>
      <c r="D118" s="980" t="s">
        <v>6814</v>
      </c>
      <c r="E118" s="4982" t="s">
        <v>7486</v>
      </c>
      <c r="F118" s="4982"/>
      <c r="G118" s="4982"/>
      <c r="H118" s="4982"/>
    </row>
    <row r="119" spans="1:8" ht="3" customHeight="1">
      <c r="D119" s="469"/>
      <c r="E119" s="2635"/>
      <c r="F119" s="2635"/>
      <c r="G119" s="2635"/>
      <c r="H119" s="2635"/>
    </row>
    <row r="120" spans="1:8" ht="12.75" customHeight="1">
      <c r="C120" s="447" t="s">
        <v>7481</v>
      </c>
      <c r="D120" s="469" t="s">
        <v>200</v>
      </c>
      <c r="E120" s="470"/>
      <c r="F120" s="466" t="s">
        <v>7482</v>
      </c>
      <c r="G120" s="466"/>
      <c r="H120" s="466"/>
    </row>
    <row r="121" spans="1:8" ht="12.75" customHeight="1">
      <c r="C121" s="471" t="s">
        <v>326</v>
      </c>
      <c r="D121" s="469" t="s">
        <v>208</v>
      </c>
      <c r="E121" s="4981" t="s">
        <v>7483</v>
      </c>
      <c r="F121" s="4981"/>
      <c r="G121" s="4981"/>
      <c r="H121" s="4981"/>
    </row>
    <row r="122" spans="1:8" ht="12.75" customHeight="1">
      <c r="C122" s="2630" t="s">
        <v>7484</v>
      </c>
      <c r="E122" s="4981" t="s">
        <v>7485</v>
      </c>
      <c r="F122" s="4981"/>
      <c r="G122" s="4981"/>
      <c r="H122" s="4981"/>
    </row>
    <row r="123" spans="1:8" ht="12.75" customHeight="1">
      <c r="C123" s="981"/>
      <c r="D123" s="980" t="s">
        <v>6814</v>
      </c>
      <c r="E123" s="4982" t="s">
        <v>7486</v>
      </c>
      <c r="F123" s="4982"/>
      <c r="G123" s="4982"/>
      <c r="H123" s="4982"/>
    </row>
    <row r="124" spans="1:8" ht="6" customHeight="1">
      <c r="D124" s="469"/>
      <c r="E124" s="2635"/>
      <c r="F124" s="2635"/>
      <c r="G124" s="2635"/>
      <c r="H124" s="2635"/>
    </row>
    <row r="125" spans="1:8">
      <c r="A125" s="450" t="s">
        <v>7478</v>
      </c>
      <c r="B125" s="467" t="str">
        <f>IF('Part V-Revenues &amp; Expenses'!$L$70=0,"",'Part V-Revenues &amp; Expenses'!$L$70)</f>
        <v/>
      </c>
      <c r="C125" s="450" t="s">
        <v>7487</v>
      </c>
      <c r="D125" s="468" t="s">
        <v>7488</v>
      </c>
    </row>
    <row r="126" spans="1:8" ht="2.1" customHeight="1"/>
    <row r="127" spans="1:8" ht="12.75" customHeight="1">
      <c r="C127" s="447" t="s">
        <v>7481</v>
      </c>
      <c r="D127" s="469" t="s">
        <v>200</v>
      </c>
      <c r="E127" s="470"/>
      <c r="F127" s="466" t="s">
        <v>7482</v>
      </c>
      <c r="G127" s="466"/>
      <c r="H127" s="466"/>
    </row>
    <row r="128" spans="1:8" ht="12.75" customHeight="1">
      <c r="C128" s="471" t="s">
        <v>326</v>
      </c>
      <c r="D128" s="469" t="s">
        <v>208</v>
      </c>
      <c r="E128" s="4981" t="s">
        <v>7483</v>
      </c>
      <c r="F128" s="4981"/>
      <c r="G128" s="4981"/>
      <c r="H128" s="4981"/>
    </row>
    <row r="129" spans="1:8" ht="12.75" customHeight="1">
      <c r="C129" s="2630" t="s">
        <v>7484</v>
      </c>
      <c r="E129" s="4981" t="s">
        <v>7485</v>
      </c>
      <c r="F129" s="4981"/>
      <c r="G129" s="4981"/>
      <c r="H129" s="4981"/>
    </row>
    <row r="130" spans="1:8" ht="12.75" customHeight="1">
      <c r="C130" s="981"/>
      <c r="D130" s="472" t="s">
        <v>6814</v>
      </c>
      <c r="E130" s="4981" t="s">
        <v>7486</v>
      </c>
      <c r="F130" s="4981"/>
      <c r="G130" s="4981"/>
      <c r="H130" s="4981"/>
    </row>
    <row r="131" spans="1:8" ht="3" customHeight="1">
      <c r="D131" s="469"/>
      <c r="E131" s="2635"/>
      <c r="F131" s="2635"/>
      <c r="G131" s="2635"/>
      <c r="H131" s="2635"/>
    </row>
    <row r="132" spans="1:8" ht="12.75" customHeight="1">
      <c r="C132" s="447" t="s">
        <v>7481</v>
      </c>
      <c r="D132" s="469" t="s">
        <v>200</v>
      </c>
      <c r="E132" s="470"/>
      <c r="F132" s="466" t="s">
        <v>7482</v>
      </c>
      <c r="G132" s="466"/>
      <c r="H132" s="466"/>
    </row>
    <row r="133" spans="1:8" ht="12.75" customHeight="1">
      <c r="C133" s="471" t="s">
        <v>326</v>
      </c>
      <c r="D133" s="469" t="s">
        <v>208</v>
      </c>
      <c r="E133" s="4981" t="s">
        <v>7483</v>
      </c>
      <c r="F133" s="4981"/>
      <c r="G133" s="4981"/>
      <c r="H133" s="4981"/>
    </row>
    <row r="134" spans="1:8" ht="12.75" customHeight="1">
      <c r="C134" s="2630" t="s">
        <v>7484</v>
      </c>
      <c r="E134" s="4981" t="s">
        <v>7485</v>
      </c>
      <c r="F134" s="4981"/>
      <c r="G134" s="4981"/>
      <c r="H134" s="4981"/>
    </row>
    <row r="135" spans="1:8" ht="12.75" customHeight="1">
      <c r="C135" s="981"/>
      <c r="D135" s="980" t="s">
        <v>6814</v>
      </c>
      <c r="E135" s="4982" t="s">
        <v>7486</v>
      </c>
      <c r="F135" s="4982"/>
      <c r="G135" s="4982"/>
      <c r="H135" s="4982"/>
    </row>
    <row r="136" spans="1:8" ht="3" customHeight="1">
      <c r="D136" s="469"/>
      <c r="E136" s="2635"/>
      <c r="F136" s="2635"/>
      <c r="G136" s="2635"/>
      <c r="H136" s="2635"/>
    </row>
    <row r="137" spans="1:8" ht="12.75" customHeight="1">
      <c r="C137" s="447" t="s">
        <v>7481</v>
      </c>
      <c r="D137" s="469" t="s">
        <v>200</v>
      </c>
      <c r="E137" s="470"/>
      <c r="F137" s="466" t="s">
        <v>7482</v>
      </c>
      <c r="G137" s="466"/>
      <c r="H137" s="466"/>
    </row>
    <row r="138" spans="1:8" ht="12.75" customHeight="1">
      <c r="C138" s="471" t="s">
        <v>326</v>
      </c>
      <c r="D138" s="469" t="s">
        <v>208</v>
      </c>
      <c r="E138" s="4981" t="s">
        <v>7483</v>
      </c>
      <c r="F138" s="4981"/>
      <c r="G138" s="4981"/>
      <c r="H138" s="4981"/>
    </row>
    <row r="139" spans="1:8" ht="12.75" customHeight="1">
      <c r="C139" s="2630" t="s">
        <v>7484</v>
      </c>
      <c r="E139" s="4981" t="s">
        <v>7485</v>
      </c>
      <c r="F139" s="4981"/>
      <c r="G139" s="4981"/>
      <c r="H139" s="4981"/>
    </row>
    <row r="140" spans="1:8" ht="12.75" customHeight="1">
      <c r="C140" s="981"/>
      <c r="D140" s="980" t="s">
        <v>6814</v>
      </c>
      <c r="E140" s="4982" t="s">
        <v>7486</v>
      </c>
      <c r="F140" s="4982"/>
      <c r="G140" s="4982"/>
      <c r="H140" s="4982"/>
    </row>
    <row r="141" spans="1:8" ht="6" customHeight="1">
      <c r="D141" s="469"/>
      <c r="E141" s="2635"/>
      <c r="F141" s="2635"/>
      <c r="G141" s="2635"/>
      <c r="H141" s="2635"/>
    </row>
    <row r="142" spans="1:8">
      <c r="A142" s="450" t="s">
        <v>7478</v>
      </c>
      <c r="B142" s="467" t="str">
        <f>IF('Part V-Revenues &amp; Expenses'!$M$70=0,"",'Part V-Revenues &amp; Expenses'!$M$70)</f>
        <v/>
      </c>
      <c r="C142" s="450" t="s">
        <v>7489</v>
      </c>
      <c r="D142" s="468" t="s">
        <v>7490</v>
      </c>
    </row>
    <row r="143" spans="1:8" ht="2.1" customHeight="1"/>
    <row r="144" spans="1:8" ht="12.75" customHeight="1">
      <c r="C144" s="447" t="s">
        <v>7481</v>
      </c>
      <c r="D144" s="469" t="s">
        <v>200</v>
      </c>
      <c r="E144" s="470"/>
      <c r="F144" s="466" t="s">
        <v>7482</v>
      </c>
      <c r="G144" s="466"/>
      <c r="H144" s="466"/>
    </row>
    <row r="145" spans="1:8" ht="12.75" customHeight="1">
      <c r="C145" s="471" t="s">
        <v>326</v>
      </c>
      <c r="D145" s="469" t="s">
        <v>208</v>
      </c>
      <c r="E145" s="4981" t="s">
        <v>7483</v>
      </c>
      <c r="F145" s="4981"/>
      <c r="G145" s="4981"/>
      <c r="H145" s="4981"/>
    </row>
    <row r="146" spans="1:8" ht="12.75" customHeight="1">
      <c r="C146" s="2630" t="s">
        <v>7484</v>
      </c>
      <c r="E146" s="4981" t="s">
        <v>7485</v>
      </c>
      <c r="F146" s="4981"/>
      <c r="G146" s="4981"/>
      <c r="H146" s="4981"/>
    </row>
    <row r="147" spans="1:8" ht="12.75" customHeight="1">
      <c r="C147" s="981"/>
      <c r="D147" s="472" t="s">
        <v>6814</v>
      </c>
      <c r="E147" s="4981" t="s">
        <v>7486</v>
      </c>
      <c r="F147" s="4981"/>
      <c r="G147" s="4981"/>
      <c r="H147" s="4981"/>
    </row>
    <row r="148" spans="1:8" ht="3" customHeight="1">
      <c r="D148" s="469"/>
      <c r="E148" s="2635"/>
      <c r="F148" s="2635"/>
      <c r="G148" s="2635"/>
      <c r="H148" s="2635"/>
    </row>
    <row r="149" spans="1:8" ht="12.75" customHeight="1">
      <c r="C149" s="447" t="s">
        <v>7481</v>
      </c>
      <c r="D149" s="469" t="s">
        <v>200</v>
      </c>
      <c r="E149" s="470"/>
      <c r="F149" s="466" t="s">
        <v>7482</v>
      </c>
      <c r="G149" s="466"/>
      <c r="H149" s="466"/>
    </row>
    <row r="150" spans="1:8" ht="12.75" customHeight="1">
      <c r="C150" s="471" t="s">
        <v>326</v>
      </c>
      <c r="D150" s="469" t="s">
        <v>208</v>
      </c>
      <c r="E150" s="4981" t="s">
        <v>7483</v>
      </c>
      <c r="F150" s="4981"/>
      <c r="G150" s="4981"/>
      <c r="H150" s="4981"/>
    </row>
    <row r="151" spans="1:8" ht="12.75" customHeight="1">
      <c r="C151" s="2630" t="s">
        <v>7484</v>
      </c>
      <c r="E151" s="4981" t="s">
        <v>7485</v>
      </c>
      <c r="F151" s="4981"/>
      <c r="G151" s="4981"/>
      <c r="H151" s="4981"/>
    </row>
    <row r="152" spans="1:8" ht="12.75" customHeight="1">
      <c r="C152" s="981"/>
      <c r="D152" s="980" t="s">
        <v>6814</v>
      </c>
      <c r="E152" s="4982" t="s">
        <v>7486</v>
      </c>
      <c r="F152" s="4982"/>
      <c r="G152" s="4982"/>
      <c r="H152" s="4982"/>
    </row>
    <row r="153" spans="1:8" ht="3" customHeight="1">
      <c r="D153" s="469"/>
      <c r="E153" s="2635"/>
      <c r="F153" s="2635"/>
      <c r="G153" s="2635"/>
      <c r="H153" s="2635"/>
    </row>
    <row r="154" spans="1:8" ht="12.75" customHeight="1">
      <c r="C154" s="447" t="s">
        <v>7481</v>
      </c>
      <c r="D154" s="469" t="s">
        <v>200</v>
      </c>
      <c r="E154" s="470"/>
      <c r="F154" s="466" t="s">
        <v>7482</v>
      </c>
      <c r="G154" s="466"/>
      <c r="H154" s="466"/>
    </row>
    <row r="155" spans="1:8" ht="12.75" customHeight="1">
      <c r="C155" s="471" t="s">
        <v>326</v>
      </c>
      <c r="D155" s="469" t="s">
        <v>208</v>
      </c>
      <c r="E155" s="4981" t="s">
        <v>7483</v>
      </c>
      <c r="F155" s="4981"/>
      <c r="G155" s="4981"/>
      <c r="H155" s="4981"/>
    </row>
    <row r="156" spans="1:8" ht="12.75" customHeight="1">
      <c r="C156" s="2630" t="s">
        <v>7484</v>
      </c>
      <c r="E156" s="4981" t="s">
        <v>7485</v>
      </c>
      <c r="F156" s="4981"/>
      <c r="G156" s="4981"/>
      <c r="H156" s="4981"/>
    </row>
    <row r="157" spans="1:8" ht="12.75" customHeight="1">
      <c r="C157" s="981"/>
      <c r="D157" s="980" t="s">
        <v>6814</v>
      </c>
      <c r="E157" s="4982" t="s">
        <v>7486</v>
      </c>
      <c r="F157" s="4982"/>
      <c r="G157" s="4982"/>
      <c r="H157" s="4982"/>
    </row>
    <row r="158" spans="1:8" ht="6" customHeight="1">
      <c r="D158" s="469"/>
      <c r="E158" s="2635"/>
      <c r="F158" s="2635"/>
      <c r="G158" s="2635"/>
      <c r="H158" s="2635"/>
    </row>
    <row r="159" spans="1:8">
      <c r="A159" s="450" t="s">
        <v>7478</v>
      </c>
      <c r="B159" s="467" t="str">
        <f>IF('Part V-Revenues &amp; Expenses'!$N$70=0,"",'Part V-Revenues &amp; Expenses'!$N$70)</f>
        <v/>
      </c>
      <c r="C159" s="450" t="s">
        <v>7491</v>
      </c>
      <c r="D159" s="468" t="s">
        <v>7492</v>
      </c>
    </row>
    <row r="160" spans="1:8" ht="2.1" customHeight="1"/>
    <row r="161" spans="1:8" ht="12.75" customHeight="1">
      <c r="C161" s="447" t="s">
        <v>7481</v>
      </c>
      <c r="D161" s="469" t="s">
        <v>200</v>
      </c>
      <c r="E161" s="470"/>
      <c r="F161" s="466" t="s">
        <v>7482</v>
      </c>
      <c r="G161" s="466"/>
      <c r="H161" s="466"/>
    </row>
    <row r="162" spans="1:8" ht="12.75" customHeight="1">
      <c r="C162" s="471" t="s">
        <v>326</v>
      </c>
      <c r="D162" s="469" t="s">
        <v>208</v>
      </c>
      <c r="E162" s="4981" t="s">
        <v>7483</v>
      </c>
      <c r="F162" s="4981"/>
      <c r="G162" s="4981"/>
      <c r="H162" s="4981"/>
    </row>
    <row r="163" spans="1:8" ht="12.75" customHeight="1">
      <c r="C163" s="2630" t="s">
        <v>7484</v>
      </c>
      <c r="E163" s="4981" t="s">
        <v>7485</v>
      </c>
      <c r="F163" s="4981"/>
      <c r="G163" s="4981"/>
      <c r="H163" s="4981"/>
    </row>
    <row r="164" spans="1:8" ht="12.75" customHeight="1">
      <c r="C164" s="981"/>
      <c r="D164" s="472" t="s">
        <v>6814</v>
      </c>
      <c r="E164" s="4981" t="s">
        <v>7486</v>
      </c>
      <c r="F164" s="4981"/>
      <c r="G164" s="4981"/>
      <c r="H164" s="4981"/>
    </row>
    <row r="165" spans="1:8" ht="3" customHeight="1">
      <c r="D165" s="469"/>
      <c r="E165" s="2635"/>
      <c r="F165" s="2635"/>
      <c r="G165" s="2635"/>
      <c r="H165" s="2635"/>
    </row>
    <row r="166" spans="1:8" ht="12.75" customHeight="1">
      <c r="C166" s="447" t="s">
        <v>7481</v>
      </c>
      <c r="D166" s="469" t="s">
        <v>200</v>
      </c>
      <c r="E166" s="470"/>
      <c r="F166" s="466" t="s">
        <v>7482</v>
      </c>
      <c r="G166" s="466"/>
      <c r="H166" s="466"/>
    </row>
    <row r="167" spans="1:8" ht="12.75" customHeight="1">
      <c r="C167" s="471" t="s">
        <v>326</v>
      </c>
      <c r="D167" s="469" t="s">
        <v>208</v>
      </c>
      <c r="E167" s="4981" t="s">
        <v>7483</v>
      </c>
      <c r="F167" s="4981"/>
      <c r="G167" s="4981"/>
      <c r="H167" s="4981"/>
    </row>
    <row r="168" spans="1:8" ht="12.75" customHeight="1">
      <c r="C168" s="2630" t="s">
        <v>7484</v>
      </c>
      <c r="E168" s="4981" t="s">
        <v>7485</v>
      </c>
      <c r="F168" s="4981"/>
      <c r="G168" s="4981"/>
      <c r="H168" s="4981"/>
    </row>
    <row r="169" spans="1:8" ht="12.75" customHeight="1">
      <c r="C169" s="981"/>
      <c r="D169" s="980" t="s">
        <v>6814</v>
      </c>
      <c r="E169" s="4982" t="s">
        <v>7486</v>
      </c>
      <c r="F169" s="4982"/>
      <c r="G169" s="4982"/>
      <c r="H169" s="4982"/>
    </row>
    <row r="170" spans="1:8" ht="3" customHeight="1">
      <c r="D170" s="469"/>
      <c r="E170" s="2635"/>
      <c r="F170" s="2635"/>
      <c r="G170" s="2635"/>
      <c r="H170" s="2635"/>
    </row>
    <row r="171" spans="1:8" ht="12.75" customHeight="1">
      <c r="C171" s="447" t="s">
        <v>7481</v>
      </c>
      <c r="D171" s="469" t="s">
        <v>200</v>
      </c>
      <c r="E171" s="470"/>
      <c r="F171" s="466" t="s">
        <v>7482</v>
      </c>
      <c r="G171" s="466"/>
      <c r="H171" s="466"/>
    </row>
    <row r="172" spans="1:8" ht="12.75" customHeight="1">
      <c r="C172" s="471" t="s">
        <v>326</v>
      </c>
      <c r="D172" s="469" t="s">
        <v>208</v>
      </c>
      <c r="E172" s="4981" t="s">
        <v>7483</v>
      </c>
      <c r="F172" s="4981"/>
      <c r="G172" s="4981"/>
      <c r="H172" s="4981"/>
    </row>
    <row r="173" spans="1:8" ht="12.75" customHeight="1">
      <c r="C173" s="2630" t="s">
        <v>7484</v>
      </c>
      <c r="E173" s="4981" t="s">
        <v>7485</v>
      </c>
      <c r="F173" s="4981"/>
      <c r="G173" s="4981"/>
      <c r="H173" s="4981"/>
    </row>
    <row r="174" spans="1:8" ht="12.75" customHeight="1">
      <c r="C174" s="981"/>
      <c r="D174" s="980" t="s">
        <v>6814</v>
      </c>
      <c r="E174" s="4982" t="s">
        <v>7486</v>
      </c>
      <c r="F174" s="4982"/>
      <c r="G174" s="4982"/>
      <c r="H174" s="4982"/>
    </row>
    <row r="175" spans="1:8" ht="6" customHeight="1">
      <c r="D175" s="469"/>
      <c r="E175" s="2635"/>
      <c r="F175" s="2635"/>
      <c r="G175" s="2635"/>
      <c r="H175" s="2635"/>
    </row>
    <row r="176" spans="1:8">
      <c r="A176" s="450" t="s">
        <v>7478</v>
      </c>
      <c r="B176" s="467" t="str">
        <f>IF('Part V-Revenues &amp; Expenses'!$O70=0,"",'Part V-Revenues &amp; Expenses'!$O$70)</f>
        <v/>
      </c>
      <c r="C176" s="450" t="s">
        <v>7493</v>
      </c>
      <c r="D176" s="468" t="s">
        <v>7494</v>
      </c>
    </row>
    <row r="177" spans="1:11" ht="2.1" customHeight="1"/>
    <row r="178" spans="1:11" ht="12.75" customHeight="1">
      <c r="C178" s="447" t="s">
        <v>7481</v>
      </c>
      <c r="D178" s="469" t="s">
        <v>200</v>
      </c>
      <c r="E178" s="470"/>
      <c r="F178" s="4981" t="s">
        <v>7482</v>
      </c>
      <c r="G178" s="4981"/>
      <c r="H178" s="4981"/>
      <c r="K178" s="306" t="s">
        <v>7021</v>
      </c>
    </row>
    <row r="179" spans="1:11" ht="12.75" customHeight="1">
      <c r="C179" s="471" t="s">
        <v>326</v>
      </c>
      <c r="D179" s="469" t="s">
        <v>208</v>
      </c>
      <c r="E179" s="4981" t="s">
        <v>7495</v>
      </c>
      <c r="F179" s="4981"/>
      <c r="G179" s="4981"/>
      <c r="H179" s="4981"/>
    </row>
    <row r="180" spans="1:11" ht="12.75" customHeight="1">
      <c r="E180" s="4981" t="s">
        <v>7485</v>
      </c>
      <c r="F180" s="4981"/>
      <c r="G180" s="4981"/>
      <c r="H180" s="4981"/>
    </row>
    <row r="181" spans="1:11" ht="12.75" customHeight="1">
      <c r="D181" s="472" t="s">
        <v>6814</v>
      </c>
      <c r="E181" s="4981" t="s">
        <v>7486</v>
      </c>
      <c r="F181" s="4981"/>
      <c r="G181" s="4981"/>
      <c r="H181" s="4981"/>
    </row>
    <row r="182" spans="1:11" ht="9" customHeight="1" thickBot="1"/>
    <row r="183" spans="1:11" ht="16.350000000000001" customHeight="1" thickBot="1">
      <c r="A183" s="4988">
        <v>40</v>
      </c>
      <c r="B183" s="4989"/>
      <c r="C183" s="982" t="s">
        <v>1212</v>
      </c>
    </row>
    <row r="184" spans="1:11" ht="9" customHeight="1">
      <c r="A184" s="443"/>
    </row>
    <row r="185" spans="1:11" ht="28.35" customHeight="1">
      <c r="A185" s="4981" t="s">
        <v>7497</v>
      </c>
      <c r="B185" s="4981"/>
      <c r="C185" s="4981"/>
      <c r="D185" s="4981"/>
      <c r="E185" s="4981"/>
      <c r="F185" s="4981"/>
      <c r="G185" s="4981"/>
      <c r="H185" s="4981"/>
    </row>
    <row r="186" spans="1:11" ht="9" customHeight="1">
      <c r="A186" s="443"/>
    </row>
    <row r="187" spans="1:11">
      <c r="A187" s="450" t="s">
        <v>7478</v>
      </c>
      <c r="B187" s="467" t="str">
        <f>IF('Part V-Revenues &amp; Expenses'!$K$69=0,"",'Part V-Revenues &amp; Expenses'!$K$69)</f>
        <v/>
      </c>
      <c r="C187" s="450" t="s">
        <v>7479</v>
      </c>
      <c r="D187" s="468" t="s">
        <v>7480</v>
      </c>
    </row>
    <row r="188" spans="1:11" ht="2.1" customHeight="1"/>
    <row r="189" spans="1:11" ht="12.75" customHeight="1">
      <c r="C189" s="447" t="s">
        <v>7481</v>
      </c>
      <c r="D189" s="469" t="s">
        <v>200</v>
      </c>
      <c r="E189" s="470"/>
      <c r="F189" s="4981" t="s">
        <v>7482</v>
      </c>
      <c r="G189" s="4981"/>
      <c r="H189" s="4981"/>
    </row>
    <row r="190" spans="1:11" ht="12.75" customHeight="1">
      <c r="C190" s="471" t="s">
        <v>326</v>
      </c>
      <c r="D190" s="469" t="s">
        <v>208</v>
      </c>
      <c r="E190" s="4981" t="s">
        <v>7483</v>
      </c>
      <c r="F190" s="4981"/>
      <c r="G190" s="4981"/>
      <c r="H190" s="4981"/>
    </row>
    <row r="191" spans="1:11" ht="12.75" customHeight="1">
      <c r="C191" s="2630" t="s">
        <v>7484</v>
      </c>
      <c r="E191" s="4981" t="s">
        <v>7485</v>
      </c>
      <c r="F191" s="4981"/>
      <c r="G191" s="4981"/>
      <c r="H191" s="4981"/>
    </row>
    <row r="192" spans="1:11" ht="12.75" customHeight="1">
      <c r="C192" s="981"/>
      <c r="D192" s="980" t="s">
        <v>6814</v>
      </c>
      <c r="E192" s="4982" t="s">
        <v>7486</v>
      </c>
      <c r="F192" s="4982"/>
      <c r="G192" s="4982"/>
      <c r="H192" s="4982"/>
    </row>
    <row r="193" spans="1:8" ht="3" customHeight="1">
      <c r="D193" s="469"/>
      <c r="E193" s="2635"/>
      <c r="F193" s="2635"/>
      <c r="G193" s="2635"/>
      <c r="H193" s="2635"/>
    </row>
    <row r="194" spans="1:8" ht="12.75" customHeight="1">
      <c r="C194" s="447" t="s">
        <v>7481</v>
      </c>
      <c r="D194" s="469" t="s">
        <v>200</v>
      </c>
      <c r="E194" s="470"/>
      <c r="F194" s="466" t="s">
        <v>7482</v>
      </c>
      <c r="G194" s="466"/>
      <c r="H194" s="466"/>
    </row>
    <row r="195" spans="1:8" ht="12.75" customHeight="1">
      <c r="C195" s="471" t="s">
        <v>326</v>
      </c>
      <c r="D195" s="469" t="s">
        <v>208</v>
      </c>
      <c r="E195" s="4981" t="s">
        <v>7483</v>
      </c>
      <c r="F195" s="4981"/>
      <c r="G195" s="4981"/>
      <c r="H195" s="4981"/>
    </row>
    <row r="196" spans="1:8" ht="12.75" customHeight="1">
      <c r="C196" s="2630" t="s">
        <v>7484</v>
      </c>
      <c r="E196" s="4981" t="s">
        <v>7485</v>
      </c>
      <c r="F196" s="4981"/>
      <c r="G196" s="4981"/>
      <c r="H196" s="4981"/>
    </row>
    <row r="197" spans="1:8" ht="12.75" customHeight="1">
      <c r="C197" s="981"/>
      <c r="D197" s="980" t="s">
        <v>6814</v>
      </c>
      <c r="E197" s="4982" t="s">
        <v>7486</v>
      </c>
      <c r="F197" s="4982"/>
      <c r="G197" s="4982"/>
      <c r="H197" s="4982"/>
    </row>
    <row r="198" spans="1:8" ht="3" customHeight="1">
      <c r="D198" s="469"/>
      <c r="E198" s="2635"/>
      <c r="F198" s="2635"/>
      <c r="G198" s="2635"/>
      <c r="H198" s="2635"/>
    </row>
    <row r="199" spans="1:8" ht="12.75" customHeight="1">
      <c r="C199" s="447" t="s">
        <v>7481</v>
      </c>
      <c r="D199" s="469" t="s">
        <v>200</v>
      </c>
      <c r="E199" s="470"/>
      <c r="F199" s="466" t="s">
        <v>7482</v>
      </c>
      <c r="G199" s="466"/>
      <c r="H199" s="466"/>
    </row>
    <row r="200" spans="1:8" ht="12.75" customHeight="1">
      <c r="C200" s="471" t="s">
        <v>326</v>
      </c>
      <c r="D200" s="469" t="s">
        <v>208</v>
      </c>
      <c r="E200" s="4981" t="s">
        <v>7483</v>
      </c>
      <c r="F200" s="4981"/>
      <c r="G200" s="4981"/>
      <c r="H200" s="4981"/>
    </row>
    <row r="201" spans="1:8" ht="12.75" customHeight="1">
      <c r="C201" s="2630" t="s">
        <v>7484</v>
      </c>
      <c r="E201" s="4981" t="s">
        <v>7485</v>
      </c>
      <c r="F201" s="4981"/>
      <c r="G201" s="4981"/>
      <c r="H201" s="4981"/>
    </row>
    <row r="202" spans="1:8" ht="12.75" customHeight="1">
      <c r="C202" s="981"/>
      <c r="D202" s="980" t="s">
        <v>6814</v>
      </c>
      <c r="E202" s="4982" t="s">
        <v>7486</v>
      </c>
      <c r="F202" s="4982"/>
      <c r="G202" s="4982"/>
      <c r="H202" s="4982"/>
    </row>
    <row r="203" spans="1:8" ht="6" customHeight="1">
      <c r="D203" s="469"/>
      <c r="E203" s="2635"/>
      <c r="F203" s="2635"/>
      <c r="G203" s="2635"/>
      <c r="H203" s="2635"/>
    </row>
    <row r="204" spans="1:8">
      <c r="A204" s="450" t="s">
        <v>7478</v>
      </c>
      <c r="B204" s="467" t="str">
        <f>IF('Part V-Revenues &amp; Expenses'!$L$69=0,"",'Part V-Revenues &amp; Expenses'!$L$69)</f>
        <v/>
      </c>
      <c r="C204" s="450" t="s">
        <v>7487</v>
      </c>
      <c r="D204" s="468" t="s">
        <v>7488</v>
      </c>
    </row>
    <row r="205" spans="1:8" ht="2.1" customHeight="1"/>
    <row r="206" spans="1:8" ht="12.75" customHeight="1">
      <c r="C206" s="447" t="s">
        <v>7481</v>
      </c>
      <c r="D206" s="469" t="s">
        <v>200</v>
      </c>
      <c r="E206" s="470"/>
      <c r="F206" s="466" t="s">
        <v>7482</v>
      </c>
      <c r="G206" s="466"/>
      <c r="H206" s="466"/>
    </row>
    <row r="207" spans="1:8" ht="12.75" customHeight="1">
      <c r="C207" s="471" t="s">
        <v>326</v>
      </c>
      <c r="D207" s="469" t="s">
        <v>208</v>
      </c>
      <c r="E207" s="4981" t="s">
        <v>7483</v>
      </c>
      <c r="F207" s="4981"/>
      <c r="G207" s="4981"/>
      <c r="H207" s="4981"/>
    </row>
    <row r="208" spans="1:8" ht="12.75" customHeight="1">
      <c r="C208" s="2630" t="s">
        <v>7484</v>
      </c>
      <c r="E208" s="4981" t="s">
        <v>7485</v>
      </c>
      <c r="F208" s="4981"/>
      <c r="G208" s="4981"/>
      <c r="H208" s="4981"/>
    </row>
    <row r="209" spans="1:8" ht="12.75" customHeight="1">
      <c r="C209" s="981"/>
      <c r="D209" s="472" t="s">
        <v>6814</v>
      </c>
      <c r="E209" s="4981" t="s">
        <v>7486</v>
      </c>
      <c r="F209" s="4981"/>
      <c r="G209" s="4981"/>
      <c r="H209" s="4981"/>
    </row>
    <row r="210" spans="1:8" ht="3" customHeight="1">
      <c r="D210" s="469"/>
      <c r="E210" s="2635"/>
      <c r="F210" s="2635"/>
      <c r="G210" s="2635"/>
      <c r="H210" s="2635"/>
    </row>
    <row r="211" spans="1:8" ht="12.75" customHeight="1">
      <c r="C211" s="447" t="s">
        <v>7481</v>
      </c>
      <c r="D211" s="469" t="s">
        <v>200</v>
      </c>
      <c r="E211" s="470"/>
      <c r="F211" s="466" t="s">
        <v>7482</v>
      </c>
      <c r="G211" s="466"/>
      <c r="H211" s="466"/>
    </row>
    <row r="212" spans="1:8" ht="12.75" customHeight="1">
      <c r="C212" s="471" t="s">
        <v>326</v>
      </c>
      <c r="D212" s="469" t="s">
        <v>208</v>
      </c>
      <c r="E212" s="4981" t="s">
        <v>7483</v>
      </c>
      <c r="F212" s="4981"/>
      <c r="G212" s="4981"/>
      <c r="H212" s="4981"/>
    </row>
    <row r="213" spans="1:8" ht="12.75" customHeight="1">
      <c r="C213" s="2630" t="s">
        <v>7484</v>
      </c>
      <c r="E213" s="4981" t="s">
        <v>7485</v>
      </c>
      <c r="F213" s="4981"/>
      <c r="G213" s="4981"/>
      <c r="H213" s="4981"/>
    </row>
    <row r="214" spans="1:8" ht="12.75" customHeight="1">
      <c r="C214" s="981"/>
      <c r="D214" s="980" t="s">
        <v>6814</v>
      </c>
      <c r="E214" s="4982" t="s">
        <v>7486</v>
      </c>
      <c r="F214" s="4982"/>
      <c r="G214" s="4982"/>
      <c r="H214" s="4982"/>
    </row>
    <row r="215" spans="1:8" ht="3" customHeight="1">
      <c r="D215" s="469"/>
      <c r="E215" s="2635"/>
      <c r="F215" s="2635"/>
      <c r="G215" s="2635"/>
      <c r="H215" s="2635"/>
    </row>
    <row r="216" spans="1:8" ht="12.75" customHeight="1">
      <c r="C216" s="447" t="s">
        <v>7481</v>
      </c>
      <c r="D216" s="469" t="s">
        <v>200</v>
      </c>
      <c r="E216" s="470"/>
      <c r="F216" s="466" t="s">
        <v>7482</v>
      </c>
      <c r="G216" s="466"/>
      <c r="H216" s="466"/>
    </row>
    <row r="217" spans="1:8" ht="12.75" customHeight="1">
      <c r="C217" s="471" t="s">
        <v>326</v>
      </c>
      <c r="D217" s="469" t="s">
        <v>208</v>
      </c>
      <c r="E217" s="4981" t="s">
        <v>7483</v>
      </c>
      <c r="F217" s="4981"/>
      <c r="G217" s="4981"/>
      <c r="H217" s="4981"/>
    </row>
    <row r="218" spans="1:8" ht="12.75" customHeight="1">
      <c r="C218" s="2630" t="s">
        <v>7484</v>
      </c>
      <c r="E218" s="4981" t="s">
        <v>7485</v>
      </c>
      <c r="F218" s="4981"/>
      <c r="G218" s="4981"/>
      <c r="H218" s="4981"/>
    </row>
    <row r="219" spans="1:8" ht="12.75" customHeight="1">
      <c r="C219" s="981"/>
      <c r="D219" s="980" t="s">
        <v>6814</v>
      </c>
      <c r="E219" s="4982" t="s">
        <v>7486</v>
      </c>
      <c r="F219" s="4982"/>
      <c r="G219" s="4982"/>
      <c r="H219" s="4982"/>
    </row>
    <row r="220" spans="1:8" ht="6" customHeight="1">
      <c r="D220" s="469"/>
      <c r="E220" s="2635"/>
      <c r="F220" s="2635"/>
      <c r="G220" s="2635"/>
      <c r="H220" s="2635"/>
    </row>
    <row r="221" spans="1:8">
      <c r="A221" s="450" t="s">
        <v>7478</v>
      </c>
      <c r="B221" s="467" t="str">
        <f>IF('Part V-Revenues &amp; Expenses'!$M$69=0,"",'Part V-Revenues &amp; Expenses'!$M$69)</f>
        <v/>
      </c>
      <c r="C221" s="450" t="s">
        <v>7489</v>
      </c>
      <c r="D221" s="468" t="s">
        <v>7490</v>
      </c>
    </row>
    <row r="222" spans="1:8" ht="2.1" customHeight="1"/>
    <row r="223" spans="1:8" ht="12.75" customHeight="1">
      <c r="C223" s="447" t="s">
        <v>7481</v>
      </c>
      <c r="D223" s="469" t="s">
        <v>200</v>
      </c>
      <c r="E223" s="470"/>
      <c r="F223" s="466" t="s">
        <v>7482</v>
      </c>
      <c r="G223" s="466"/>
      <c r="H223" s="466"/>
    </row>
    <row r="224" spans="1:8" ht="12.75" customHeight="1">
      <c r="C224" s="471" t="s">
        <v>326</v>
      </c>
      <c r="D224" s="469" t="s">
        <v>208</v>
      </c>
      <c r="E224" s="4981" t="s">
        <v>7483</v>
      </c>
      <c r="F224" s="4981"/>
      <c r="G224" s="4981"/>
      <c r="H224" s="4981"/>
    </row>
    <row r="225" spans="1:8" ht="12.75" customHeight="1">
      <c r="C225" s="2630" t="s">
        <v>7484</v>
      </c>
      <c r="E225" s="4981" t="s">
        <v>7485</v>
      </c>
      <c r="F225" s="4981"/>
      <c r="G225" s="4981"/>
      <c r="H225" s="4981"/>
    </row>
    <row r="226" spans="1:8" ht="12.75" customHeight="1">
      <c r="C226" s="981"/>
      <c r="D226" s="472" t="s">
        <v>6814</v>
      </c>
      <c r="E226" s="4981" t="s">
        <v>7486</v>
      </c>
      <c r="F226" s="4981"/>
      <c r="G226" s="4981"/>
      <c r="H226" s="4981"/>
    </row>
    <row r="227" spans="1:8" ht="3" customHeight="1">
      <c r="D227" s="469"/>
      <c r="E227" s="2635"/>
      <c r="F227" s="2635"/>
      <c r="G227" s="2635"/>
      <c r="H227" s="2635"/>
    </row>
    <row r="228" spans="1:8" ht="12.75" customHeight="1">
      <c r="C228" s="447" t="s">
        <v>7481</v>
      </c>
      <c r="D228" s="469" t="s">
        <v>200</v>
      </c>
      <c r="E228" s="470"/>
      <c r="F228" s="466" t="s">
        <v>7482</v>
      </c>
      <c r="G228" s="466"/>
      <c r="H228" s="466"/>
    </row>
    <row r="229" spans="1:8" ht="12.75" customHeight="1">
      <c r="C229" s="471" t="s">
        <v>326</v>
      </c>
      <c r="D229" s="469" t="s">
        <v>208</v>
      </c>
      <c r="E229" s="4981" t="s">
        <v>7483</v>
      </c>
      <c r="F229" s="4981"/>
      <c r="G229" s="4981"/>
      <c r="H229" s="4981"/>
    </row>
    <row r="230" spans="1:8" ht="12.75" customHeight="1">
      <c r="C230" s="2630" t="s">
        <v>7484</v>
      </c>
      <c r="E230" s="4981" t="s">
        <v>7485</v>
      </c>
      <c r="F230" s="4981"/>
      <c r="G230" s="4981"/>
      <c r="H230" s="4981"/>
    </row>
    <row r="231" spans="1:8" ht="12.75" customHeight="1">
      <c r="C231" s="981"/>
      <c r="D231" s="980" t="s">
        <v>6814</v>
      </c>
      <c r="E231" s="4982" t="s">
        <v>7486</v>
      </c>
      <c r="F231" s="4982"/>
      <c r="G231" s="4982"/>
      <c r="H231" s="4982"/>
    </row>
    <row r="232" spans="1:8" ht="3" customHeight="1">
      <c r="D232" s="469"/>
      <c r="E232" s="2635"/>
      <c r="F232" s="2635"/>
      <c r="G232" s="2635"/>
      <c r="H232" s="2635"/>
    </row>
    <row r="233" spans="1:8" ht="12.75" customHeight="1">
      <c r="C233" s="447" t="s">
        <v>7481</v>
      </c>
      <c r="D233" s="469" t="s">
        <v>200</v>
      </c>
      <c r="E233" s="470"/>
      <c r="F233" s="466" t="s">
        <v>7482</v>
      </c>
      <c r="G233" s="466"/>
      <c r="H233" s="466"/>
    </row>
    <row r="234" spans="1:8" ht="12.75" customHeight="1">
      <c r="C234" s="471" t="s">
        <v>326</v>
      </c>
      <c r="D234" s="469" t="s">
        <v>208</v>
      </c>
      <c r="E234" s="4981" t="s">
        <v>7483</v>
      </c>
      <c r="F234" s="4981"/>
      <c r="G234" s="4981"/>
      <c r="H234" s="4981"/>
    </row>
    <row r="235" spans="1:8" ht="12.75" customHeight="1">
      <c r="C235" s="2630" t="s">
        <v>7484</v>
      </c>
      <c r="E235" s="4981" t="s">
        <v>7485</v>
      </c>
      <c r="F235" s="4981"/>
      <c r="G235" s="4981"/>
      <c r="H235" s="4981"/>
    </row>
    <row r="236" spans="1:8" ht="12.75" customHeight="1">
      <c r="C236" s="981"/>
      <c r="D236" s="980" t="s">
        <v>6814</v>
      </c>
      <c r="E236" s="4982" t="s">
        <v>7486</v>
      </c>
      <c r="F236" s="4982"/>
      <c r="G236" s="4982"/>
      <c r="H236" s="4982"/>
    </row>
    <row r="237" spans="1:8" ht="6" customHeight="1">
      <c r="D237" s="469"/>
      <c r="E237" s="2635"/>
      <c r="F237" s="2635"/>
      <c r="G237" s="2635"/>
      <c r="H237" s="2635"/>
    </row>
    <row r="238" spans="1:8">
      <c r="A238" s="450" t="s">
        <v>7478</v>
      </c>
      <c r="B238" s="467" t="str">
        <f>IF('Part V-Revenues &amp; Expenses'!$N$69=0,"",'Part V-Revenues &amp; Expenses'!$N$69)</f>
        <v/>
      </c>
      <c r="C238" s="450" t="s">
        <v>7491</v>
      </c>
      <c r="D238" s="468" t="s">
        <v>7492</v>
      </c>
    </row>
    <row r="239" spans="1:8" ht="2.1" customHeight="1"/>
    <row r="240" spans="1:8" ht="12.75" customHeight="1">
      <c r="C240" s="447" t="s">
        <v>7481</v>
      </c>
      <c r="D240" s="469" t="s">
        <v>200</v>
      </c>
      <c r="E240" s="470"/>
      <c r="F240" s="466" t="s">
        <v>7482</v>
      </c>
      <c r="G240" s="466"/>
      <c r="H240" s="466"/>
    </row>
    <row r="241" spans="1:8" ht="12.75" customHeight="1">
      <c r="C241" s="471" t="s">
        <v>326</v>
      </c>
      <c r="D241" s="469" t="s">
        <v>208</v>
      </c>
      <c r="E241" s="4981" t="s">
        <v>7483</v>
      </c>
      <c r="F241" s="4981"/>
      <c r="G241" s="4981"/>
      <c r="H241" s="4981"/>
    </row>
    <row r="242" spans="1:8" ht="12.75" customHeight="1">
      <c r="C242" s="2630" t="s">
        <v>7484</v>
      </c>
      <c r="E242" s="4981" t="s">
        <v>7485</v>
      </c>
      <c r="F242" s="4981"/>
      <c r="G242" s="4981"/>
      <c r="H242" s="4981"/>
    </row>
    <row r="243" spans="1:8" ht="12.75" customHeight="1">
      <c r="C243" s="981"/>
      <c r="D243" s="472" t="s">
        <v>6814</v>
      </c>
      <c r="E243" s="4981" t="s">
        <v>7486</v>
      </c>
      <c r="F243" s="4981"/>
      <c r="G243" s="4981"/>
      <c r="H243" s="4981"/>
    </row>
    <row r="244" spans="1:8" ht="3" customHeight="1">
      <c r="D244" s="469"/>
      <c r="E244" s="2635"/>
      <c r="F244" s="2635"/>
      <c r="G244" s="2635"/>
      <c r="H244" s="2635"/>
    </row>
    <row r="245" spans="1:8" ht="12.75" customHeight="1">
      <c r="C245" s="447" t="s">
        <v>7481</v>
      </c>
      <c r="D245" s="469" t="s">
        <v>200</v>
      </c>
      <c r="E245" s="470"/>
      <c r="F245" s="466" t="s">
        <v>7482</v>
      </c>
      <c r="G245" s="466"/>
      <c r="H245" s="466"/>
    </row>
    <row r="246" spans="1:8" ht="12.75" customHeight="1">
      <c r="C246" s="471" t="s">
        <v>326</v>
      </c>
      <c r="D246" s="469" t="s">
        <v>208</v>
      </c>
      <c r="E246" s="4981" t="s">
        <v>7483</v>
      </c>
      <c r="F246" s="4981"/>
      <c r="G246" s="4981"/>
      <c r="H246" s="4981"/>
    </row>
    <row r="247" spans="1:8" ht="12.75" customHeight="1">
      <c r="C247" s="2630" t="s">
        <v>7484</v>
      </c>
      <c r="E247" s="4981" t="s">
        <v>7485</v>
      </c>
      <c r="F247" s="4981"/>
      <c r="G247" s="4981"/>
      <c r="H247" s="4981"/>
    </row>
    <row r="248" spans="1:8" ht="12.75" customHeight="1">
      <c r="C248" s="981"/>
      <c r="D248" s="980" t="s">
        <v>6814</v>
      </c>
      <c r="E248" s="4982" t="s">
        <v>7486</v>
      </c>
      <c r="F248" s="4982"/>
      <c r="G248" s="4982"/>
      <c r="H248" s="4982"/>
    </row>
    <row r="249" spans="1:8" ht="3" customHeight="1">
      <c r="D249" s="469"/>
      <c r="E249" s="2635"/>
      <c r="F249" s="2635"/>
      <c r="G249" s="2635"/>
      <c r="H249" s="2635"/>
    </row>
    <row r="250" spans="1:8" ht="12.75" customHeight="1">
      <c r="C250" s="447" t="s">
        <v>7481</v>
      </c>
      <c r="D250" s="469" t="s">
        <v>200</v>
      </c>
      <c r="E250" s="470"/>
      <c r="F250" s="466" t="s">
        <v>7482</v>
      </c>
      <c r="G250" s="466"/>
      <c r="H250" s="466"/>
    </row>
    <row r="251" spans="1:8" ht="12.75" customHeight="1">
      <c r="C251" s="471" t="s">
        <v>326</v>
      </c>
      <c r="D251" s="469" t="s">
        <v>208</v>
      </c>
      <c r="E251" s="4981" t="s">
        <v>7483</v>
      </c>
      <c r="F251" s="4981"/>
      <c r="G251" s="4981"/>
      <c r="H251" s="4981"/>
    </row>
    <row r="252" spans="1:8" ht="12.75" customHeight="1">
      <c r="C252" s="2630" t="s">
        <v>7484</v>
      </c>
      <c r="E252" s="4981" t="s">
        <v>7485</v>
      </c>
      <c r="F252" s="4981"/>
      <c r="G252" s="4981"/>
      <c r="H252" s="4981"/>
    </row>
    <row r="253" spans="1:8" ht="12.75" customHeight="1">
      <c r="C253" s="981"/>
      <c r="D253" s="980" t="s">
        <v>6814</v>
      </c>
      <c r="E253" s="4982" t="s">
        <v>7486</v>
      </c>
      <c r="F253" s="4982"/>
      <c r="G253" s="4982"/>
      <c r="H253" s="4982"/>
    </row>
    <row r="254" spans="1:8" ht="6" customHeight="1">
      <c r="D254" s="469"/>
      <c r="E254" s="2635"/>
      <c r="F254" s="2635"/>
      <c r="G254" s="2635"/>
      <c r="H254" s="2635"/>
    </row>
    <row r="255" spans="1:8">
      <c r="A255" s="450" t="s">
        <v>7478</v>
      </c>
      <c r="B255" s="467" t="str">
        <f>IF('Part V-Revenues &amp; Expenses'!$O$69=0,"",'Part V-Revenues &amp; Expenses'!$O$69)</f>
        <v/>
      </c>
      <c r="C255" s="450" t="s">
        <v>7493</v>
      </c>
      <c r="D255" s="468" t="s">
        <v>7494</v>
      </c>
    </row>
    <row r="256" spans="1:8" ht="2.1" customHeight="1"/>
    <row r="257" spans="1:11" ht="12.75" customHeight="1">
      <c r="C257" s="447" t="s">
        <v>7481</v>
      </c>
      <c r="D257" s="469" t="s">
        <v>200</v>
      </c>
      <c r="E257" s="470"/>
      <c r="F257" s="4981" t="s">
        <v>7482</v>
      </c>
      <c r="G257" s="4981"/>
      <c r="H257" s="4981"/>
      <c r="K257" s="306" t="s">
        <v>7021</v>
      </c>
    </row>
    <row r="258" spans="1:11" ht="12.75" customHeight="1">
      <c r="C258" s="471" t="s">
        <v>326</v>
      </c>
      <c r="D258" s="469" t="s">
        <v>208</v>
      </c>
      <c r="E258" s="4981" t="s">
        <v>7495</v>
      </c>
      <c r="F258" s="4981"/>
      <c r="G258" s="4981"/>
      <c r="H258" s="4981"/>
    </row>
    <row r="259" spans="1:11" ht="12.75" customHeight="1">
      <c r="E259" s="4981" t="s">
        <v>7485</v>
      </c>
      <c r="F259" s="4981"/>
      <c r="G259" s="4981"/>
      <c r="H259" s="4981"/>
    </row>
    <row r="260" spans="1:11" ht="12.75" customHeight="1">
      <c r="D260" s="472" t="s">
        <v>6814</v>
      </c>
      <c r="E260" s="4981" t="s">
        <v>7486</v>
      </c>
      <c r="F260" s="4981"/>
      <c r="G260" s="4981"/>
      <c r="H260" s="4981"/>
    </row>
    <row r="261" spans="1:11" ht="9" customHeight="1" thickBot="1"/>
    <row r="262" spans="1:11" ht="16.350000000000001" customHeight="1" thickBot="1">
      <c r="A262" s="4988">
        <v>50</v>
      </c>
      <c r="B262" s="4989"/>
      <c r="C262" s="982" t="s">
        <v>1212</v>
      </c>
    </row>
    <row r="263" spans="1:11" ht="9" customHeight="1">
      <c r="A263" s="443"/>
    </row>
    <row r="264" spans="1:11" ht="28.35" customHeight="1">
      <c r="A264" s="4981" t="s">
        <v>7498</v>
      </c>
      <c r="B264" s="4981"/>
      <c r="C264" s="4981"/>
      <c r="D264" s="4981"/>
      <c r="E264" s="4981"/>
      <c r="F264" s="4981"/>
      <c r="G264" s="4981"/>
      <c r="H264" s="4981"/>
    </row>
    <row r="265" spans="1:11" ht="9" customHeight="1">
      <c r="A265" s="443"/>
    </row>
    <row r="266" spans="1:11">
      <c r="A266" s="450" t="s">
        <v>7478</v>
      </c>
      <c r="B266" s="467" t="str">
        <f>IF('Part V-Revenues &amp; Expenses'!$K$68=0,"",'Part V-Revenues &amp; Expenses'!$K$68)</f>
        <v/>
      </c>
      <c r="C266" s="450" t="s">
        <v>7479</v>
      </c>
      <c r="D266" s="468" t="s">
        <v>7480</v>
      </c>
    </row>
    <row r="267" spans="1:11" ht="2.1" customHeight="1"/>
    <row r="268" spans="1:11" ht="12.75" customHeight="1">
      <c r="C268" s="447" t="s">
        <v>7481</v>
      </c>
      <c r="D268" s="469" t="s">
        <v>200</v>
      </c>
      <c r="E268" s="470"/>
      <c r="F268" s="4981" t="s">
        <v>7482</v>
      </c>
      <c r="G268" s="4981"/>
      <c r="H268" s="4981"/>
    </row>
    <row r="269" spans="1:11" ht="12.75" customHeight="1">
      <c r="C269" s="471" t="s">
        <v>326</v>
      </c>
      <c r="D269" s="469" t="s">
        <v>208</v>
      </c>
      <c r="E269" s="4981" t="s">
        <v>7483</v>
      </c>
      <c r="F269" s="4981"/>
      <c r="G269" s="4981"/>
      <c r="H269" s="4981"/>
    </row>
    <row r="270" spans="1:11" ht="12.75" customHeight="1">
      <c r="C270" s="2630" t="s">
        <v>7484</v>
      </c>
      <c r="E270" s="4981" t="s">
        <v>7485</v>
      </c>
      <c r="F270" s="4981"/>
      <c r="G270" s="4981"/>
      <c r="H270" s="4981"/>
    </row>
    <row r="271" spans="1:11" ht="12.75" customHeight="1">
      <c r="C271" s="981"/>
      <c r="D271" s="980" t="s">
        <v>6814</v>
      </c>
      <c r="E271" s="4982" t="s">
        <v>7486</v>
      </c>
      <c r="F271" s="4982"/>
      <c r="G271" s="4982"/>
      <c r="H271" s="4982"/>
    </row>
    <row r="272" spans="1:11" ht="3" customHeight="1">
      <c r="D272" s="469"/>
      <c r="E272" s="2635"/>
      <c r="F272" s="2635"/>
      <c r="G272" s="2635"/>
      <c r="H272" s="2635"/>
    </row>
    <row r="273" spans="1:8" ht="12.75" customHeight="1">
      <c r="C273" s="447" t="s">
        <v>7481</v>
      </c>
      <c r="D273" s="469" t="s">
        <v>200</v>
      </c>
      <c r="E273" s="470"/>
      <c r="F273" s="466" t="s">
        <v>7482</v>
      </c>
      <c r="G273" s="466"/>
      <c r="H273" s="466"/>
    </row>
    <row r="274" spans="1:8" ht="12.75" customHeight="1">
      <c r="C274" s="471" t="s">
        <v>326</v>
      </c>
      <c r="D274" s="469" t="s">
        <v>208</v>
      </c>
      <c r="E274" s="4981" t="s">
        <v>7483</v>
      </c>
      <c r="F274" s="4981"/>
      <c r="G274" s="4981"/>
      <c r="H274" s="4981"/>
    </row>
    <row r="275" spans="1:8" ht="12.75" customHeight="1">
      <c r="C275" s="2630" t="s">
        <v>7484</v>
      </c>
      <c r="E275" s="4981" t="s">
        <v>7485</v>
      </c>
      <c r="F275" s="4981"/>
      <c r="G275" s="4981"/>
      <c r="H275" s="4981"/>
    </row>
    <row r="276" spans="1:8" ht="12.75" customHeight="1">
      <c r="C276" s="981"/>
      <c r="D276" s="980" t="s">
        <v>6814</v>
      </c>
      <c r="E276" s="4982" t="s">
        <v>7486</v>
      </c>
      <c r="F276" s="4982"/>
      <c r="G276" s="4982"/>
      <c r="H276" s="4982"/>
    </row>
    <row r="277" spans="1:8" ht="3" customHeight="1">
      <c r="D277" s="469"/>
      <c r="E277" s="2635"/>
      <c r="F277" s="2635"/>
      <c r="G277" s="2635"/>
      <c r="H277" s="2635"/>
    </row>
    <row r="278" spans="1:8" ht="12.75" customHeight="1">
      <c r="C278" s="447" t="s">
        <v>7481</v>
      </c>
      <c r="D278" s="469" t="s">
        <v>200</v>
      </c>
      <c r="E278" s="470"/>
      <c r="F278" s="466" t="s">
        <v>7482</v>
      </c>
      <c r="G278" s="466"/>
      <c r="H278" s="466"/>
    </row>
    <row r="279" spans="1:8" ht="12.75" customHeight="1">
      <c r="C279" s="471" t="s">
        <v>326</v>
      </c>
      <c r="D279" s="469" t="s">
        <v>208</v>
      </c>
      <c r="E279" s="4981" t="s">
        <v>7483</v>
      </c>
      <c r="F279" s="4981"/>
      <c r="G279" s="4981"/>
      <c r="H279" s="4981"/>
    </row>
    <row r="280" spans="1:8" ht="12.75" customHeight="1">
      <c r="C280" s="2630" t="s">
        <v>7484</v>
      </c>
      <c r="E280" s="4981" t="s">
        <v>7485</v>
      </c>
      <c r="F280" s="4981"/>
      <c r="G280" s="4981"/>
      <c r="H280" s="4981"/>
    </row>
    <row r="281" spans="1:8" ht="12.75" customHeight="1">
      <c r="C281" s="981"/>
      <c r="D281" s="980" t="s">
        <v>6814</v>
      </c>
      <c r="E281" s="4982" t="s">
        <v>7486</v>
      </c>
      <c r="F281" s="4982"/>
      <c r="G281" s="4982"/>
      <c r="H281" s="4982"/>
    </row>
    <row r="282" spans="1:8" ht="6" customHeight="1">
      <c r="D282" s="469"/>
      <c r="E282" s="2635"/>
      <c r="F282" s="2635"/>
      <c r="G282" s="2635"/>
      <c r="H282" s="2635"/>
    </row>
    <row r="283" spans="1:8">
      <c r="A283" s="450" t="s">
        <v>7478</v>
      </c>
      <c r="B283" s="467">
        <f>IF('Part V-Revenues &amp; Expenses'!$L$68=0,"",'Part V-Revenues &amp; Expenses'!$L$68)</f>
        <v>7</v>
      </c>
      <c r="C283" s="450" t="s">
        <v>7487</v>
      </c>
      <c r="D283" s="468" t="s">
        <v>7488</v>
      </c>
    </row>
    <row r="284" spans="1:8" ht="2.1" customHeight="1"/>
    <row r="285" spans="1:8" ht="12.75" customHeight="1">
      <c r="C285" s="447" t="s">
        <v>7481</v>
      </c>
      <c r="D285" s="469" t="s">
        <v>200</v>
      </c>
      <c r="E285" s="470"/>
      <c r="F285" s="466" t="s">
        <v>7482</v>
      </c>
      <c r="G285" s="466"/>
      <c r="H285" s="466"/>
    </row>
    <row r="286" spans="1:8" ht="12.75" customHeight="1">
      <c r="C286" s="471" t="s">
        <v>326</v>
      </c>
      <c r="D286" s="469" t="s">
        <v>208</v>
      </c>
      <c r="E286" s="4981" t="s">
        <v>7483</v>
      </c>
      <c r="F286" s="4981"/>
      <c r="G286" s="4981"/>
      <c r="H286" s="4981"/>
    </row>
    <row r="287" spans="1:8" ht="12.75" customHeight="1">
      <c r="C287" s="2630" t="s">
        <v>7484</v>
      </c>
      <c r="E287" s="4981" t="s">
        <v>7485</v>
      </c>
      <c r="F287" s="4981"/>
      <c r="G287" s="4981"/>
      <c r="H287" s="4981"/>
    </row>
    <row r="288" spans="1:8" ht="12.75" customHeight="1">
      <c r="C288" s="981"/>
      <c r="D288" s="472" t="s">
        <v>6814</v>
      </c>
      <c r="E288" s="4981" t="s">
        <v>7486</v>
      </c>
      <c r="F288" s="4981"/>
      <c r="G288" s="4981"/>
      <c r="H288" s="4981"/>
    </row>
    <row r="289" spans="1:8" ht="3" customHeight="1">
      <c r="D289" s="469"/>
      <c r="E289" s="2635"/>
      <c r="F289" s="2635"/>
      <c r="G289" s="2635"/>
      <c r="H289" s="2635"/>
    </row>
    <row r="290" spans="1:8" ht="12.75" customHeight="1">
      <c r="C290" s="447" t="s">
        <v>7481</v>
      </c>
      <c r="D290" s="469" t="s">
        <v>200</v>
      </c>
      <c r="E290" s="470"/>
      <c r="F290" s="466" t="s">
        <v>7482</v>
      </c>
      <c r="G290" s="466"/>
      <c r="H290" s="466"/>
    </row>
    <row r="291" spans="1:8" ht="12.75" customHeight="1">
      <c r="C291" s="471" t="s">
        <v>326</v>
      </c>
      <c r="D291" s="469" t="s">
        <v>208</v>
      </c>
      <c r="E291" s="4981" t="s">
        <v>7483</v>
      </c>
      <c r="F291" s="4981"/>
      <c r="G291" s="4981"/>
      <c r="H291" s="4981"/>
    </row>
    <row r="292" spans="1:8" ht="12.75" customHeight="1">
      <c r="C292" s="2630" t="s">
        <v>7484</v>
      </c>
      <c r="E292" s="4981" t="s">
        <v>7485</v>
      </c>
      <c r="F292" s="4981"/>
      <c r="G292" s="4981"/>
      <c r="H292" s="4981"/>
    </row>
    <row r="293" spans="1:8" ht="12.75" customHeight="1">
      <c r="C293" s="981"/>
      <c r="D293" s="980" t="s">
        <v>6814</v>
      </c>
      <c r="E293" s="4982" t="s">
        <v>7486</v>
      </c>
      <c r="F293" s="4982"/>
      <c r="G293" s="4982"/>
      <c r="H293" s="4982"/>
    </row>
    <row r="294" spans="1:8" ht="3" customHeight="1">
      <c r="D294" s="469"/>
      <c r="E294" s="2635"/>
      <c r="F294" s="2635"/>
      <c r="G294" s="2635"/>
      <c r="H294" s="2635"/>
    </row>
    <row r="295" spans="1:8" ht="12.75" customHeight="1">
      <c r="C295" s="447" t="s">
        <v>7481</v>
      </c>
      <c r="D295" s="469" t="s">
        <v>200</v>
      </c>
      <c r="E295" s="470"/>
      <c r="F295" s="466" t="s">
        <v>7482</v>
      </c>
      <c r="G295" s="466"/>
      <c r="H295" s="466"/>
    </row>
    <row r="296" spans="1:8" ht="12.75" customHeight="1">
      <c r="C296" s="471" t="s">
        <v>326</v>
      </c>
      <c r="D296" s="469" t="s">
        <v>208</v>
      </c>
      <c r="E296" s="4981" t="s">
        <v>7483</v>
      </c>
      <c r="F296" s="4981"/>
      <c r="G296" s="4981"/>
      <c r="H296" s="4981"/>
    </row>
    <row r="297" spans="1:8" ht="12.75" customHeight="1">
      <c r="C297" s="2630" t="s">
        <v>7484</v>
      </c>
      <c r="E297" s="4981" t="s">
        <v>7485</v>
      </c>
      <c r="F297" s="4981"/>
      <c r="G297" s="4981"/>
      <c r="H297" s="4981"/>
    </row>
    <row r="298" spans="1:8" ht="12.75" customHeight="1">
      <c r="C298" s="981"/>
      <c r="D298" s="980" t="s">
        <v>6814</v>
      </c>
      <c r="E298" s="4982" t="s">
        <v>7486</v>
      </c>
      <c r="F298" s="4982"/>
      <c r="G298" s="4982"/>
      <c r="H298" s="4982"/>
    </row>
    <row r="299" spans="1:8" ht="6" customHeight="1">
      <c r="D299" s="469"/>
      <c r="E299" s="2635"/>
      <c r="F299" s="2635"/>
      <c r="G299" s="2635"/>
      <c r="H299" s="2635"/>
    </row>
    <row r="300" spans="1:8">
      <c r="A300" s="450" t="s">
        <v>7478</v>
      </c>
      <c r="B300" s="467">
        <f>IF('Part V-Revenues &amp; Expenses'!$M$68=0,"",'Part V-Revenues &amp; Expenses'!$M$68)</f>
        <v>11</v>
      </c>
      <c r="C300" s="450" t="s">
        <v>7489</v>
      </c>
      <c r="D300" s="468" t="s">
        <v>7490</v>
      </c>
    </row>
    <row r="301" spans="1:8" ht="2.1" customHeight="1"/>
    <row r="302" spans="1:8" ht="12.75" customHeight="1">
      <c r="C302" s="447" t="s">
        <v>7481</v>
      </c>
      <c r="D302" s="469" t="s">
        <v>200</v>
      </c>
      <c r="E302" s="470"/>
      <c r="F302" s="466" t="s">
        <v>7482</v>
      </c>
      <c r="G302" s="466"/>
      <c r="H302" s="466"/>
    </row>
    <row r="303" spans="1:8" ht="12.75" customHeight="1">
      <c r="C303" s="471" t="s">
        <v>326</v>
      </c>
      <c r="D303" s="469" t="s">
        <v>208</v>
      </c>
      <c r="E303" s="4981" t="s">
        <v>7483</v>
      </c>
      <c r="F303" s="4981"/>
      <c r="G303" s="4981"/>
      <c r="H303" s="4981"/>
    </row>
    <row r="304" spans="1:8" ht="12.75" customHeight="1">
      <c r="C304" s="2630" t="s">
        <v>7484</v>
      </c>
      <c r="E304" s="4981" t="s">
        <v>7485</v>
      </c>
      <c r="F304" s="4981"/>
      <c r="G304" s="4981"/>
      <c r="H304" s="4981"/>
    </row>
    <row r="305" spans="1:8" ht="12.75" customHeight="1">
      <c r="C305" s="981"/>
      <c r="D305" s="472" t="s">
        <v>6814</v>
      </c>
      <c r="E305" s="4981" t="s">
        <v>7486</v>
      </c>
      <c r="F305" s="4981"/>
      <c r="G305" s="4981"/>
      <c r="H305" s="4981"/>
    </row>
    <row r="306" spans="1:8" ht="3" customHeight="1">
      <c r="D306" s="469"/>
      <c r="E306" s="2635"/>
      <c r="F306" s="2635"/>
      <c r="G306" s="2635"/>
      <c r="H306" s="2635"/>
    </row>
    <row r="307" spans="1:8" ht="12.75" customHeight="1">
      <c r="C307" s="447" t="s">
        <v>7481</v>
      </c>
      <c r="D307" s="469" t="s">
        <v>200</v>
      </c>
      <c r="E307" s="470"/>
      <c r="F307" s="466" t="s">
        <v>7482</v>
      </c>
      <c r="G307" s="466"/>
      <c r="H307" s="466"/>
    </row>
    <row r="308" spans="1:8" ht="12.75" customHeight="1">
      <c r="C308" s="471" t="s">
        <v>326</v>
      </c>
      <c r="D308" s="469" t="s">
        <v>208</v>
      </c>
      <c r="E308" s="4981" t="s">
        <v>7483</v>
      </c>
      <c r="F308" s="4981"/>
      <c r="G308" s="4981"/>
      <c r="H308" s="4981"/>
    </row>
    <row r="309" spans="1:8" ht="12.75" customHeight="1">
      <c r="C309" s="2630" t="s">
        <v>7484</v>
      </c>
      <c r="E309" s="4981" t="s">
        <v>7485</v>
      </c>
      <c r="F309" s="4981"/>
      <c r="G309" s="4981"/>
      <c r="H309" s="4981"/>
    </row>
    <row r="310" spans="1:8" ht="12.75" customHeight="1">
      <c r="C310" s="981"/>
      <c r="D310" s="980" t="s">
        <v>6814</v>
      </c>
      <c r="E310" s="4982" t="s">
        <v>7486</v>
      </c>
      <c r="F310" s="4982"/>
      <c r="G310" s="4982"/>
      <c r="H310" s="4982"/>
    </row>
    <row r="311" spans="1:8" ht="3" customHeight="1">
      <c r="D311" s="469"/>
      <c r="E311" s="2635"/>
      <c r="F311" s="2635"/>
      <c r="G311" s="2635"/>
      <c r="H311" s="2635"/>
    </row>
    <row r="312" spans="1:8" ht="12.75" customHeight="1">
      <c r="C312" s="447" t="s">
        <v>7481</v>
      </c>
      <c r="D312" s="469" t="s">
        <v>200</v>
      </c>
      <c r="E312" s="470"/>
      <c r="F312" s="466" t="s">
        <v>7482</v>
      </c>
      <c r="G312" s="466"/>
      <c r="H312" s="466"/>
    </row>
    <row r="313" spans="1:8" ht="12.75" customHeight="1">
      <c r="C313" s="471" t="s">
        <v>326</v>
      </c>
      <c r="D313" s="469" t="s">
        <v>208</v>
      </c>
      <c r="E313" s="4981" t="s">
        <v>7483</v>
      </c>
      <c r="F313" s="4981"/>
      <c r="G313" s="4981"/>
      <c r="H313" s="4981"/>
    </row>
    <row r="314" spans="1:8" ht="12.75" customHeight="1">
      <c r="C314" s="2630" t="s">
        <v>7484</v>
      </c>
      <c r="E314" s="4981" t="s">
        <v>7485</v>
      </c>
      <c r="F314" s="4981"/>
      <c r="G314" s="4981"/>
      <c r="H314" s="4981"/>
    </row>
    <row r="315" spans="1:8" ht="12.75" customHeight="1">
      <c r="C315" s="981"/>
      <c r="D315" s="980" t="s">
        <v>6814</v>
      </c>
      <c r="E315" s="4982" t="s">
        <v>7486</v>
      </c>
      <c r="F315" s="4982"/>
      <c r="G315" s="4982"/>
      <c r="H315" s="4982"/>
    </row>
    <row r="316" spans="1:8" ht="6" customHeight="1">
      <c r="D316" s="469"/>
      <c r="E316" s="2635"/>
      <c r="F316" s="2635"/>
      <c r="G316" s="2635"/>
      <c r="H316" s="2635"/>
    </row>
    <row r="317" spans="1:8">
      <c r="A317" s="450" t="s">
        <v>7478</v>
      </c>
      <c r="B317" s="467" t="str">
        <f>IF('Part V-Revenues &amp; Expenses'!$N$68=0,"",'Part V-Revenues &amp; Expenses'!$N$68)</f>
        <v/>
      </c>
      <c r="C317" s="450" t="s">
        <v>7491</v>
      </c>
      <c r="D317" s="468" t="s">
        <v>7492</v>
      </c>
    </row>
    <row r="318" spans="1:8" ht="2.1" customHeight="1"/>
    <row r="319" spans="1:8" ht="12.75" customHeight="1">
      <c r="C319" s="447" t="s">
        <v>7481</v>
      </c>
      <c r="D319" s="469" t="s">
        <v>200</v>
      </c>
      <c r="E319" s="470"/>
      <c r="F319" s="466" t="s">
        <v>7482</v>
      </c>
      <c r="G319" s="466"/>
      <c r="H319" s="466"/>
    </row>
    <row r="320" spans="1:8" ht="12.75" customHeight="1">
      <c r="C320" s="471" t="s">
        <v>326</v>
      </c>
      <c r="D320" s="469" t="s">
        <v>208</v>
      </c>
      <c r="E320" s="4981" t="s">
        <v>7483</v>
      </c>
      <c r="F320" s="4981"/>
      <c r="G320" s="4981"/>
      <c r="H320" s="4981"/>
    </row>
    <row r="321" spans="1:11" ht="12.75" customHeight="1">
      <c r="C321" s="2630" t="s">
        <v>7484</v>
      </c>
      <c r="E321" s="4981" t="s">
        <v>7485</v>
      </c>
      <c r="F321" s="4981"/>
      <c r="G321" s="4981"/>
      <c r="H321" s="4981"/>
    </row>
    <row r="322" spans="1:11" ht="12.75" customHeight="1">
      <c r="C322" s="981"/>
      <c r="D322" s="472" t="s">
        <v>6814</v>
      </c>
      <c r="E322" s="4981" t="s">
        <v>7486</v>
      </c>
      <c r="F322" s="4981"/>
      <c r="G322" s="4981"/>
      <c r="H322" s="4981"/>
    </row>
    <row r="323" spans="1:11" ht="3" customHeight="1">
      <c r="D323" s="469"/>
      <c r="E323" s="2635"/>
      <c r="F323" s="2635"/>
      <c r="G323" s="2635"/>
      <c r="H323" s="2635"/>
    </row>
    <row r="324" spans="1:11" ht="12.75" customHeight="1">
      <c r="C324" s="447" t="s">
        <v>7481</v>
      </c>
      <c r="D324" s="469" t="s">
        <v>200</v>
      </c>
      <c r="E324" s="470"/>
      <c r="F324" s="466" t="s">
        <v>7482</v>
      </c>
      <c r="G324" s="466"/>
      <c r="H324" s="466"/>
    </row>
    <row r="325" spans="1:11" ht="12.75" customHeight="1">
      <c r="C325" s="471" t="s">
        <v>326</v>
      </c>
      <c r="D325" s="469" t="s">
        <v>208</v>
      </c>
      <c r="E325" s="4981" t="s">
        <v>7483</v>
      </c>
      <c r="F325" s="4981"/>
      <c r="G325" s="4981"/>
      <c r="H325" s="4981"/>
    </row>
    <row r="326" spans="1:11" ht="12.75" customHeight="1">
      <c r="C326" s="2630" t="s">
        <v>7484</v>
      </c>
      <c r="E326" s="4981" t="s">
        <v>7485</v>
      </c>
      <c r="F326" s="4981"/>
      <c r="G326" s="4981"/>
      <c r="H326" s="4981"/>
    </row>
    <row r="327" spans="1:11" ht="12.75" customHeight="1">
      <c r="C327" s="981"/>
      <c r="D327" s="980" t="s">
        <v>6814</v>
      </c>
      <c r="E327" s="4982" t="s">
        <v>7486</v>
      </c>
      <c r="F327" s="4982"/>
      <c r="G327" s="4982"/>
      <c r="H327" s="4982"/>
    </row>
    <row r="328" spans="1:11" ht="3" customHeight="1">
      <c r="D328" s="469"/>
      <c r="E328" s="2635"/>
      <c r="F328" s="2635"/>
      <c r="G328" s="2635"/>
      <c r="H328" s="2635"/>
    </row>
    <row r="329" spans="1:11" ht="12.75" customHeight="1">
      <c r="C329" s="447" t="s">
        <v>7481</v>
      </c>
      <c r="D329" s="469" t="s">
        <v>200</v>
      </c>
      <c r="E329" s="470"/>
      <c r="F329" s="466" t="s">
        <v>7482</v>
      </c>
      <c r="G329" s="466"/>
      <c r="H329" s="466"/>
    </row>
    <row r="330" spans="1:11" ht="12.75" customHeight="1">
      <c r="C330" s="471" t="s">
        <v>326</v>
      </c>
      <c r="D330" s="469" t="s">
        <v>208</v>
      </c>
      <c r="E330" s="4981" t="s">
        <v>7483</v>
      </c>
      <c r="F330" s="4981"/>
      <c r="G330" s="4981"/>
      <c r="H330" s="4981"/>
    </row>
    <row r="331" spans="1:11" ht="12.75" customHeight="1">
      <c r="C331" s="2630" t="s">
        <v>7484</v>
      </c>
      <c r="E331" s="4981" t="s">
        <v>7485</v>
      </c>
      <c r="F331" s="4981"/>
      <c r="G331" s="4981"/>
      <c r="H331" s="4981"/>
    </row>
    <row r="332" spans="1:11" ht="12.75" customHeight="1">
      <c r="C332" s="981"/>
      <c r="D332" s="980" t="s">
        <v>6814</v>
      </c>
      <c r="E332" s="4982" t="s">
        <v>7486</v>
      </c>
      <c r="F332" s="4982"/>
      <c r="G332" s="4982"/>
      <c r="H332" s="4982"/>
    </row>
    <row r="333" spans="1:11" ht="6" customHeight="1">
      <c r="D333" s="469"/>
      <c r="E333" s="2635"/>
      <c r="F333" s="2635"/>
      <c r="G333" s="2635"/>
      <c r="H333" s="2635"/>
    </row>
    <row r="334" spans="1:11">
      <c r="A334" s="450" t="s">
        <v>7478</v>
      </c>
      <c r="B334" s="467" t="str">
        <f>IF('Part V-Revenues &amp; Expenses'!$O$68=0,"",'Part V-Revenues &amp; Expenses'!$O$68)</f>
        <v/>
      </c>
      <c r="C334" s="450" t="s">
        <v>7493</v>
      </c>
      <c r="D334" s="468" t="s">
        <v>7494</v>
      </c>
    </row>
    <row r="335" spans="1:11" ht="2.1" customHeight="1"/>
    <row r="336" spans="1:11" ht="12.75" customHeight="1">
      <c r="C336" s="447" t="s">
        <v>7481</v>
      </c>
      <c r="D336" s="469" t="s">
        <v>200</v>
      </c>
      <c r="E336" s="470"/>
      <c r="F336" s="4981" t="s">
        <v>7482</v>
      </c>
      <c r="G336" s="4981"/>
      <c r="H336" s="4981"/>
      <c r="K336" s="306" t="s">
        <v>7021</v>
      </c>
    </row>
    <row r="337" spans="1:8" ht="12.75" customHeight="1">
      <c r="C337" s="471" t="s">
        <v>326</v>
      </c>
      <c r="D337" s="469" t="s">
        <v>208</v>
      </c>
      <c r="E337" s="4981" t="s">
        <v>7495</v>
      </c>
      <c r="F337" s="4981"/>
      <c r="G337" s="4981"/>
      <c r="H337" s="4981"/>
    </row>
    <row r="338" spans="1:8" ht="12.75" customHeight="1">
      <c r="E338" s="4981" t="s">
        <v>7485</v>
      </c>
      <c r="F338" s="4981"/>
      <c r="G338" s="4981"/>
      <c r="H338" s="4981"/>
    </row>
    <row r="339" spans="1:8" ht="12.75" customHeight="1">
      <c r="D339" s="472" t="s">
        <v>6814</v>
      </c>
      <c r="E339" s="4981" t="s">
        <v>7486</v>
      </c>
      <c r="F339" s="4981"/>
      <c r="G339" s="4981"/>
      <c r="H339" s="4981"/>
    </row>
    <row r="340" spans="1:8" ht="9" customHeight="1"/>
    <row r="341" spans="1:8" ht="7.5" customHeight="1" thickBot="1">
      <c r="E341" s="4981"/>
      <c r="F341" s="4981"/>
      <c r="G341" s="4981"/>
      <c r="H341" s="4981"/>
    </row>
    <row r="342" spans="1:8" ht="16.350000000000001" customHeight="1" thickBot="1">
      <c r="A342" s="4988">
        <v>60</v>
      </c>
      <c r="B342" s="4989"/>
      <c r="C342" s="982" t="s">
        <v>1212</v>
      </c>
    </row>
    <row r="343" spans="1:8" ht="9" customHeight="1">
      <c r="A343" s="443"/>
    </row>
    <row r="344" spans="1:8" ht="28.35" customHeight="1">
      <c r="A344" s="4981" t="s">
        <v>7499</v>
      </c>
      <c r="B344" s="4981"/>
      <c r="C344" s="4981"/>
      <c r="D344" s="4981"/>
      <c r="E344" s="4981"/>
      <c r="F344" s="4981"/>
      <c r="G344" s="4981"/>
      <c r="H344" s="4981"/>
    </row>
    <row r="345" spans="1:8" ht="9" customHeight="1">
      <c r="A345" s="443"/>
    </row>
    <row r="346" spans="1:8">
      <c r="A346" s="450" t="s">
        <v>7478</v>
      </c>
      <c r="B346" s="467" t="str">
        <f>IF('Part V-Revenues &amp; Expenses'!$K$67=0,"",'Part V-Revenues &amp; Expenses'!$K$67)</f>
        <v/>
      </c>
      <c r="C346" s="450" t="s">
        <v>7479</v>
      </c>
      <c r="D346" s="468" t="s">
        <v>7480</v>
      </c>
    </row>
    <row r="347" spans="1:8" ht="2.1" customHeight="1"/>
    <row r="348" spans="1:8" ht="12.75" customHeight="1">
      <c r="C348" s="447" t="s">
        <v>7481</v>
      </c>
      <c r="D348" s="469" t="s">
        <v>200</v>
      </c>
      <c r="E348" s="470"/>
      <c r="F348" s="4981" t="s">
        <v>7482</v>
      </c>
      <c r="G348" s="4981"/>
      <c r="H348" s="4981"/>
    </row>
    <row r="349" spans="1:8" ht="12.75" customHeight="1">
      <c r="C349" s="471" t="s">
        <v>326</v>
      </c>
      <c r="D349" s="469" t="s">
        <v>208</v>
      </c>
      <c r="E349" s="4981" t="s">
        <v>7483</v>
      </c>
      <c r="F349" s="4981"/>
      <c r="G349" s="4981"/>
      <c r="H349" s="4981"/>
    </row>
    <row r="350" spans="1:8" ht="12.75" customHeight="1">
      <c r="C350" s="2630" t="s">
        <v>7484</v>
      </c>
      <c r="E350" s="4981" t="s">
        <v>7485</v>
      </c>
      <c r="F350" s="4981"/>
      <c r="G350" s="4981"/>
      <c r="H350" s="4981"/>
    </row>
    <row r="351" spans="1:8" ht="12.75" customHeight="1">
      <c r="C351" s="981"/>
      <c r="D351" s="980" t="s">
        <v>6814</v>
      </c>
      <c r="E351" s="4982" t="s">
        <v>7486</v>
      </c>
      <c r="F351" s="4982"/>
      <c r="G351" s="4982"/>
      <c r="H351" s="4982"/>
    </row>
    <row r="352" spans="1:8" ht="3" customHeight="1">
      <c r="D352" s="469"/>
      <c r="E352" s="2635"/>
      <c r="F352" s="2635"/>
      <c r="G352" s="2635"/>
      <c r="H352" s="2635"/>
    </row>
    <row r="353" spans="1:8" ht="12.75" customHeight="1">
      <c r="C353" s="447" t="s">
        <v>7481</v>
      </c>
      <c r="D353" s="469" t="s">
        <v>200</v>
      </c>
      <c r="E353" s="470"/>
      <c r="F353" s="466" t="s">
        <v>7482</v>
      </c>
      <c r="G353" s="466"/>
      <c r="H353" s="466"/>
    </row>
    <row r="354" spans="1:8" ht="12.75" customHeight="1">
      <c r="C354" s="471" t="s">
        <v>326</v>
      </c>
      <c r="D354" s="469" t="s">
        <v>208</v>
      </c>
      <c r="E354" s="4981" t="s">
        <v>7483</v>
      </c>
      <c r="F354" s="4981"/>
      <c r="G354" s="4981"/>
      <c r="H354" s="4981"/>
    </row>
    <row r="355" spans="1:8" ht="12.75" customHeight="1">
      <c r="C355" s="2630" t="s">
        <v>7484</v>
      </c>
      <c r="E355" s="4981" t="s">
        <v>7485</v>
      </c>
      <c r="F355" s="4981"/>
      <c r="G355" s="4981"/>
      <c r="H355" s="4981"/>
    </row>
    <row r="356" spans="1:8" ht="12.75" customHeight="1">
      <c r="C356" s="981"/>
      <c r="D356" s="980" t="s">
        <v>6814</v>
      </c>
      <c r="E356" s="4982" t="s">
        <v>7486</v>
      </c>
      <c r="F356" s="4982"/>
      <c r="G356" s="4982"/>
      <c r="H356" s="4982"/>
    </row>
    <row r="357" spans="1:8" ht="3" customHeight="1">
      <c r="D357" s="469"/>
      <c r="E357" s="2635"/>
      <c r="F357" s="2635"/>
      <c r="G357" s="2635"/>
      <c r="H357" s="2635"/>
    </row>
    <row r="358" spans="1:8" ht="12.75" customHeight="1">
      <c r="C358" s="447" t="s">
        <v>7481</v>
      </c>
      <c r="D358" s="469" t="s">
        <v>200</v>
      </c>
      <c r="E358" s="470"/>
      <c r="F358" s="466" t="s">
        <v>7482</v>
      </c>
      <c r="G358" s="466"/>
      <c r="H358" s="466"/>
    </row>
    <row r="359" spans="1:8" ht="12.75" customHeight="1">
      <c r="C359" s="471" t="s">
        <v>326</v>
      </c>
      <c r="D359" s="469" t="s">
        <v>208</v>
      </c>
      <c r="E359" s="4981" t="s">
        <v>7483</v>
      </c>
      <c r="F359" s="4981"/>
      <c r="G359" s="4981"/>
      <c r="H359" s="4981"/>
    </row>
    <row r="360" spans="1:8" ht="12.75" customHeight="1">
      <c r="C360" s="2630" t="s">
        <v>7484</v>
      </c>
      <c r="E360" s="4981" t="s">
        <v>7485</v>
      </c>
      <c r="F360" s="4981"/>
      <c r="G360" s="4981"/>
      <c r="H360" s="4981"/>
    </row>
    <row r="361" spans="1:8" ht="12.75" customHeight="1">
      <c r="C361" s="981"/>
      <c r="D361" s="980" t="s">
        <v>6814</v>
      </c>
      <c r="E361" s="4982" t="s">
        <v>7486</v>
      </c>
      <c r="F361" s="4982"/>
      <c r="G361" s="4982"/>
      <c r="H361" s="4982"/>
    </row>
    <row r="362" spans="1:8" ht="6" customHeight="1">
      <c r="D362" s="469"/>
      <c r="E362" s="2635"/>
      <c r="F362" s="2635"/>
      <c r="G362" s="2635"/>
      <c r="H362" s="2635"/>
    </row>
    <row r="363" spans="1:8">
      <c r="A363" s="450" t="s">
        <v>7478</v>
      </c>
      <c r="B363" s="467">
        <f>IF('Part V-Revenues &amp; Expenses'!$L$67=0,"",'Part V-Revenues &amp; Expenses'!$L$67)</f>
        <v>15</v>
      </c>
      <c r="C363" s="450" t="s">
        <v>7487</v>
      </c>
      <c r="D363" s="468" t="s">
        <v>7488</v>
      </c>
    </row>
    <row r="364" spans="1:8" ht="2.1" customHeight="1"/>
    <row r="365" spans="1:8" ht="12.75" customHeight="1">
      <c r="C365" s="447" t="s">
        <v>7481</v>
      </c>
      <c r="D365" s="469" t="s">
        <v>200</v>
      </c>
      <c r="E365" s="470"/>
      <c r="F365" s="466" t="s">
        <v>7482</v>
      </c>
      <c r="G365" s="466"/>
      <c r="H365" s="466"/>
    </row>
    <row r="366" spans="1:8" ht="12.75" customHeight="1">
      <c r="C366" s="471" t="s">
        <v>326</v>
      </c>
      <c r="D366" s="469" t="s">
        <v>208</v>
      </c>
      <c r="E366" s="4981" t="s">
        <v>7483</v>
      </c>
      <c r="F366" s="4981"/>
      <c r="G366" s="4981"/>
      <c r="H366" s="4981"/>
    </row>
    <row r="367" spans="1:8" ht="12.75" customHeight="1">
      <c r="C367" s="2630" t="s">
        <v>7484</v>
      </c>
      <c r="E367" s="4981" t="s">
        <v>7485</v>
      </c>
      <c r="F367" s="4981"/>
      <c r="G367" s="4981"/>
      <c r="H367" s="4981"/>
    </row>
    <row r="368" spans="1:8" ht="12.75" customHeight="1">
      <c r="C368" s="981"/>
      <c r="D368" s="472" t="s">
        <v>6814</v>
      </c>
      <c r="E368" s="4981" t="s">
        <v>7486</v>
      </c>
      <c r="F368" s="4981"/>
      <c r="G368" s="4981"/>
      <c r="H368" s="4981"/>
    </row>
    <row r="369" spans="1:8" ht="3" customHeight="1">
      <c r="D369" s="469"/>
      <c r="E369" s="2635"/>
      <c r="F369" s="2635"/>
      <c r="G369" s="2635"/>
      <c r="H369" s="2635"/>
    </row>
    <row r="370" spans="1:8" ht="12.75" customHeight="1">
      <c r="C370" s="447" t="s">
        <v>7481</v>
      </c>
      <c r="D370" s="469" t="s">
        <v>200</v>
      </c>
      <c r="E370" s="470"/>
      <c r="F370" s="466" t="s">
        <v>7482</v>
      </c>
      <c r="G370" s="466"/>
      <c r="H370" s="466"/>
    </row>
    <row r="371" spans="1:8" ht="12.75" customHeight="1">
      <c r="C371" s="471" t="s">
        <v>326</v>
      </c>
      <c r="D371" s="469" t="s">
        <v>208</v>
      </c>
      <c r="E371" s="4981" t="s">
        <v>7483</v>
      </c>
      <c r="F371" s="4981"/>
      <c r="G371" s="4981"/>
      <c r="H371" s="4981"/>
    </row>
    <row r="372" spans="1:8" ht="12.75" customHeight="1">
      <c r="C372" s="2630" t="s">
        <v>7484</v>
      </c>
      <c r="E372" s="4981" t="s">
        <v>7485</v>
      </c>
      <c r="F372" s="4981"/>
      <c r="G372" s="4981"/>
      <c r="H372" s="4981"/>
    </row>
    <row r="373" spans="1:8" ht="12.75" customHeight="1">
      <c r="C373" s="981"/>
      <c r="D373" s="980" t="s">
        <v>6814</v>
      </c>
      <c r="E373" s="4982" t="s">
        <v>7486</v>
      </c>
      <c r="F373" s="4982"/>
      <c r="G373" s="4982"/>
      <c r="H373" s="4982"/>
    </row>
    <row r="374" spans="1:8" ht="3" customHeight="1">
      <c r="D374" s="469"/>
      <c r="E374" s="2635"/>
      <c r="F374" s="2635"/>
      <c r="G374" s="2635"/>
      <c r="H374" s="2635"/>
    </row>
    <row r="375" spans="1:8" ht="12.75" customHeight="1">
      <c r="C375" s="447" t="s">
        <v>7481</v>
      </c>
      <c r="D375" s="469" t="s">
        <v>200</v>
      </c>
      <c r="E375" s="470"/>
      <c r="F375" s="466" t="s">
        <v>7482</v>
      </c>
      <c r="G375" s="466"/>
      <c r="H375" s="466"/>
    </row>
    <row r="376" spans="1:8" ht="12.75" customHeight="1">
      <c r="C376" s="471" t="s">
        <v>326</v>
      </c>
      <c r="D376" s="469" t="s">
        <v>208</v>
      </c>
      <c r="E376" s="4981" t="s">
        <v>7483</v>
      </c>
      <c r="F376" s="4981"/>
      <c r="G376" s="4981"/>
      <c r="H376" s="4981"/>
    </row>
    <row r="377" spans="1:8" ht="12.75" customHeight="1">
      <c r="C377" s="2630" t="s">
        <v>7484</v>
      </c>
      <c r="E377" s="4981" t="s">
        <v>7485</v>
      </c>
      <c r="F377" s="4981"/>
      <c r="G377" s="4981"/>
      <c r="H377" s="4981"/>
    </row>
    <row r="378" spans="1:8" ht="12.75" customHeight="1">
      <c r="C378" s="981"/>
      <c r="D378" s="980" t="s">
        <v>6814</v>
      </c>
      <c r="E378" s="4982" t="s">
        <v>7486</v>
      </c>
      <c r="F378" s="4982"/>
      <c r="G378" s="4982"/>
      <c r="H378" s="4982"/>
    </row>
    <row r="379" spans="1:8" ht="6" customHeight="1">
      <c r="D379" s="469"/>
      <c r="E379" s="2635"/>
      <c r="F379" s="2635"/>
      <c r="G379" s="2635"/>
      <c r="H379" s="2635"/>
    </row>
    <row r="380" spans="1:8">
      <c r="A380" s="450" t="s">
        <v>7478</v>
      </c>
      <c r="B380" s="467">
        <f>IF('Part V-Revenues &amp; Expenses'!$M$67=0,"",'Part V-Revenues &amp; Expenses'!$M$67)</f>
        <v>21</v>
      </c>
      <c r="C380" s="450" t="s">
        <v>7489</v>
      </c>
      <c r="D380" s="468" t="s">
        <v>7490</v>
      </c>
    </row>
    <row r="381" spans="1:8" ht="2.1" customHeight="1"/>
    <row r="382" spans="1:8" ht="12.75" customHeight="1">
      <c r="C382" s="447" t="s">
        <v>7481</v>
      </c>
      <c r="D382" s="469" t="s">
        <v>200</v>
      </c>
      <c r="E382" s="470"/>
      <c r="F382" s="466" t="s">
        <v>7482</v>
      </c>
      <c r="G382" s="466"/>
      <c r="H382" s="466"/>
    </row>
    <row r="383" spans="1:8" ht="12.75" customHeight="1">
      <c r="C383" s="471" t="s">
        <v>326</v>
      </c>
      <c r="D383" s="469" t="s">
        <v>208</v>
      </c>
      <c r="E383" s="4981" t="s">
        <v>7483</v>
      </c>
      <c r="F383" s="4981"/>
      <c r="G383" s="4981"/>
      <c r="H383" s="4981"/>
    </row>
    <row r="384" spans="1:8" ht="12.75" customHeight="1">
      <c r="C384" s="2630" t="s">
        <v>7484</v>
      </c>
      <c r="E384" s="4981" t="s">
        <v>7485</v>
      </c>
      <c r="F384" s="4981"/>
      <c r="G384" s="4981"/>
      <c r="H384" s="4981"/>
    </row>
    <row r="385" spans="1:8" ht="12.75" customHeight="1">
      <c r="C385" s="981"/>
      <c r="D385" s="472" t="s">
        <v>6814</v>
      </c>
      <c r="E385" s="4981" t="s">
        <v>7486</v>
      </c>
      <c r="F385" s="4981"/>
      <c r="G385" s="4981"/>
      <c r="H385" s="4981"/>
    </row>
    <row r="386" spans="1:8" ht="3" customHeight="1">
      <c r="D386" s="469"/>
      <c r="E386" s="2635"/>
      <c r="F386" s="2635"/>
      <c r="G386" s="2635"/>
      <c r="H386" s="2635"/>
    </row>
    <row r="387" spans="1:8" ht="12.75" customHeight="1">
      <c r="C387" s="447" t="s">
        <v>7481</v>
      </c>
      <c r="D387" s="469" t="s">
        <v>200</v>
      </c>
      <c r="E387" s="470"/>
      <c r="F387" s="466" t="s">
        <v>7482</v>
      </c>
      <c r="G387" s="466"/>
      <c r="H387" s="466"/>
    </row>
    <row r="388" spans="1:8" ht="12.75" customHeight="1">
      <c r="C388" s="471" t="s">
        <v>326</v>
      </c>
      <c r="D388" s="469" t="s">
        <v>208</v>
      </c>
      <c r="E388" s="4981" t="s">
        <v>7483</v>
      </c>
      <c r="F388" s="4981"/>
      <c r="G388" s="4981"/>
      <c r="H388" s="4981"/>
    </row>
    <row r="389" spans="1:8" ht="12.75" customHeight="1">
      <c r="C389" s="2630" t="s">
        <v>7484</v>
      </c>
      <c r="E389" s="4981" t="s">
        <v>7485</v>
      </c>
      <c r="F389" s="4981"/>
      <c r="G389" s="4981"/>
      <c r="H389" s="4981"/>
    </row>
    <row r="390" spans="1:8" ht="12.75" customHeight="1">
      <c r="C390" s="981"/>
      <c r="D390" s="980" t="s">
        <v>6814</v>
      </c>
      <c r="E390" s="4982" t="s">
        <v>7486</v>
      </c>
      <c r="F390" s="4982"/>
      <c r="G390" s="4982"/>
      <c r="H390" s="4982"/>
    </row>
    <row r="391" spans="1:8" ht="3" customHeight="1">
      <c r="D391" s="469"/>
      <c r="E391" s="2635"/>
      <c r="F391" s="2635"/>
      <c r="G391" s="2635"/>
      <c r="H391" s="2635"/>
    </row>
    <row r="392" spans="1:8" ht="12.75" customHeight="1">
      <c r="C392" s="447" t="s">
        <v>7481</v>
      </c>
      <c r="D392" s="469" t="s">
        <v>200</v>
      </c>
      <c r="E392" s="470"/>
      <c r="F392" s="466" t="s">
        <v>7482</v>
      </c>
      <c r="G392" s="466"/>
      <c r="H392" s="466"/>
    </row>
    <row r="393" spans="1:8" ht="12.75" customHeight="1">
      <c r="C393" s="471" t="s">
        <v>326</v>
      </c>
      <c r="D393" s="469" t="s">
        <v>208</v>
      </c>
      <c r="E393" s="4981" t="s">
        <v>7483</v>
      </c>
      <c r="F393" s="4981"/>
      <c r="G393" s="4981"/>
      <c r="H393" s="4981"/>
    </row>
    <row r="394" spans="1:8" ht="12.75" customHeight="1">
      <c r="C394" s="2630" t="s">
        <v>7484</v>
      </c>
      <c r="E394" s="4981" t="s">
        <v>7485</v>
      </c>
      <c r="F394" s="4981"/>
      <c r="G394" s="4981"/>
      <c r="H394" s="4981"/>
    </row>
    <row r="395" spans="1:8" ht="12.75" customHeight="1">
      <c r="C395" s="981"/>
      <c r="D395" s="980" t="s">
        <v>6814</v>
      </c>
      <c r="E395" s="4982" t="s">
        <v>7486</v>
      </c>
      <c r="F395" s="4982"/>
      <c r="G395" s="4982"/>
      <c r="H395" s="4982"/>
    </row>
    <row r="396" spans="1:8" ht="6" customHeight="1">
      <c r="D396" s="469"/>
      <c r="E396" s="2635"/>
      <c r="F396" s="2635"/>
      <c r="G396" s="2635"/>
      <c r="H396" s="2635"/>
    </row>
    <row r="397" spans="1:8">
      <c r="A397" s="450" t="s">
        <v>7478</v>
      </c>
      <c r="B397" s="467" t="str">
        <f>IF('Part V-Revenues &amp; Expenses'!$N$67=0,"",'Part V-Revenues &amp; Expenses'!$N$67)</f>
        <v/>
      </c>
      <c r="C397" s="450" t="s">
        <v>7491</v>
      </c>
      <c r="D397" s="468" t="s">
        <v>7492</v>
      </c>
    </row>
    <row r="398" spans="1:8" ht="2.1" customHeight="1"/>
    <row r="399" spans="1:8" ht="12.75" customHeight="1">
      <c r="C399" s="447" t="s">
        <v>7481</v>
      </c>
      <c r="D399" s="469" t="s">
        <v>200</v>
      </c>
      <c r="E399" s="470"/>
      <c r="F399" s="466" t="s">
        <v>7482</v>
      </c>
      <c r="G399" s="466"/>
      <c r="H399" s="466"/>
    </row>
    <row r="400" spans="1:8" ht="12.75" customHeight="1">
      <c r="C400" s="471" t="s">
        <v>326</v>
      </c>
      <c r="D400" s="469" t="s">
        <v>208</v>
      </c>
      <c r="E400" s="4981" t="s">
        <v>7483</v>
      </c>
      <c r="F400" s="4981"/>
      <c r="G400" s="4981"/>
      <c r="H400" s="4981"/>
    </row>
    <row r="401" spans="1:11" ht="12.75" customHeight="1">
      <c r="C401" s="2630" t="s">
        <v>7484</v>
      </c>
      <c r="E401" s="4981" t="s">
        <v>7485</v>
      </c>
      <c r="F401" s="4981"/>
      <c r="G401" s="4981"/>
      <c r="H401" s="4981"/>
    </row>
    <row r="402" spans="1:11" ht="12.75" customHeight="1">
      <c r="C402" s="981"/>
      <c r="D402" s="472" t="s">
        <v>6814</v>
      </c>
      <c r="E402" s="4981" t="s">
        <v>7486</v>
      </c>
      <c r="F402" s="4981"/>
      <c r="G402" s="4981"/>
      <c r="H402" s="4981"/>
    </row>
    <row r="403" spans="1:11" ht="3" customHeight="1">
      <c r="D403" s="469"/>
      <c r="E403" s="2635"/>
      <c r="F403" s="2635"/>
      <c r="G403" s="2635"/>
      <c r="H403" s="2635"/>
    </row>
    <row r="404" spans="1:11" ht="12.75" customHeight="1">
      <c r="C404" s="447" t="s">
        <v>7481</v>
      </c>
      <c r="D404" s="469" t="s">
        <v>200</v>
      </c>
      <c r="E404" s="470"/>
      <c r="F404" s="466" t="s">
        <v>7482</v>
      </c>
      <c r="G404" s="466"/>
      <c r="H404" s="466"/>
    </row>
    <row r="405" spans="1:11" ht="12.75" customHeight="1">
      <c r="C405" s="471" t="s">
        <v>326</v>
      </c>
      <c r="D405" s="469" t="s">
        <v>208</v>
      </c>
      <c r="E405" s="4981" t="s">
        <v>7483</v>
      </c>
      <c r="F405" s="4981"/>
      <c r="G405" s="4981"/>
      <c r="H405" s="4981"/>
    </row>
    <row r="406" spans="1:11" ht="12.75" customHeight="1">
      <c r="C406" s="2630" t="s">
        <v>7484</v>
      </c>
      <c r="E406" s="4981" t="s">
        <v>7485</v>
      </c>
      <c r="F406" s="4981"/>
      <c r="G406" s="4981"/>
      <c r="H406" s="4981"/>
    </row>
    <row r="407" spans="1:11" ht="12.75" customHeight="1">
      <c r="C407" s="981"/>
      <c r="D407" s="980" t="s">
        <v>6814</v>
      </c>
      <c r="E407" s="4982" t="s">
        <v>7486</v>
      </c>
      <c r="F407" s="4982"/>
      <c r="G407" s="4982"/>
      <c r="H407" s="4982"/>
    </row>
    <row r="408" spans="1:11" ht="3" customHeight="1">
      <c r="D408" s="469"/>
      <c r="E408" s="2635"/>
      <c r="F408" s="2635"/>
      <c r="G408" s="2635"/>
      <c r="H408" s="2635"/>
    </row>
    <row r="409" spans="1:11" ht="12.75" customHeight="1">
      <c r="C409" s="447" t="s">
        <v>7481</v>
      </c>
      <c r="D409" s="469" t="s">
        <v>200</v>
      </c>
      <c r="E409" s="470"/>
      <c r="F409" s="466" t="s">
        <v>7482</v>
      </c>
      <c r="G409" s="466"/>
      <c r="H409" s="466"/>
    </row>
    <row r="410" spans="1:11" ht="12.75" customHeight="1">
      <c r="C410" s="471" t="s">
        <v>326</v>
      </c>
      <c r="D410" s="469" t="s">
        <v>208</v>
      </c>
      <c r="E410" s="4981" t="s">
        <v>7483</v>
      </c>
      <c r="F410" s="4981"/>
      <c r="G410" s="4981"/>
      <c r="H410" s="4981"/>
    </row>
    <row r="411" spans="1:11" ht="12.75" customHeight="1">
      <c r="C411" s="2630" t="s">
        <v>7484</v>
      </c>
      <c r="E411" s="4981" t="s">
        <v>7485</v>
      </c>
      <c r="F411" s="4981"/>
      <c r="G411" s="4981"/>
      <c r="H411" s="4981"/>
    </row>
    <row r="412" spans="1:11" ht="12.75" customHeight="1">
      <c r="C412" s="981"/>
      <c r="D412" s="980" t="s">
        <v>6814</v>
      </c>
      <c r="E412" s="4982" t="s">
        <v>7486</v>
      </c>
      <c r="F412" s="4982"/>
      <c r="G412" s="4982"/>
      <c r="H412" s="4982"/>
    </row>
    <row r="413" spans="1:11" ht="6" customHeight="1">
      <c r="D413" s="469"/>
      <c r="E413" s="2635"/>
      <c r="F413" s="2635"/>
      <c r="G413" s="2635"/>
      <c r="H413" s="2635"/>
    </row>
    <row r="414" spans="1:11">
      <c r="A414" s="450" t="s">
        <v>7478</v>
      </c>
      <c r="B414" s="467" t="str">
        <f>IF('Part V-Revenues &amp; Expenses'!$O$67=0,"",'Part V-Revenues &amp; Expenses'!$O$67)</f>
        <v/>
      </c>
      <c r="C414" s="450" t="s">
        <v>7493</v>
      </c>
      <c r="D414" s="468" t="s">
        <v>7494</v>
      </c>
    </row>
    <row r="415" spans="1:11" ht="2.1" customHeight="1"/>
    <row r="416" spans="1:11" ht="12.75" customHeight="1">
      <c r="C416" s="447" t="s">
        <v>7481</v>
      </c>
      <c r="D416" s="469" t="s">
        <v>200</v>
      </c>
      <c r="E416" s="470"/>
      <c r="F416" s="4981" t="s">
        <v>7482</v>
      </c>
      <c r="G416" s="4981"/>
      <c r="H416" s="4981"/>
      <c r="K416" s="306" t="s">
        <v>7021</v>
      </c>
    </row>
    <row r="417" spans="1:8" ht="12.75" customHeight="1">
      <c r="C417" s="471" t="s">
        <v>326</v>
      </c>
      <c r="D417" s="469" t="s">
        <v>208</v>
      </c>
      <c r="E417" s="4981" t="s">
        <v>7495</v>
      </c>
      <c r="F417" s="4981"/>
      <c r="G417" s="4981"/>
      <c r="H417" s="4981"/>
    </row>
    <row r="418" spans="1:8" ht="12.75" customHeight="1">
      <c r="E418" s="4981" t="s">
        <v>7485</v>
      </c>
      <c r="F418" s="4981"/>
      <c r="G418" s="4981"/>
      <c r="H418" s="4981"/>
    </row>
    <row r="419" spans="1:8" ht="12.75" customHeight="1">
      <c r="D419" s="472" t="s">
        <v>6814</v>
      </c>
      <c r="E419" s="4981" t="s">
        <v>7486</v>
      </c>
      <c r="F419" s="4981"/>
      <c r="G419" s="4981"/>
      <c r="H419" s="4981"/>
    </row>
    <row r="420" spans="1:8" ht="9" customHeight="1" thickBot="1"/>
    <row r="421" spans="1:8" ht="16.350000000000001" customHeight="1" thickBot="1">
      <c r="A421" s="4988">
        <v>70</v>
      </c>
      <c r="B421" s="4989"/>
      <c r="C421" s="982" t="s">
        <v>1212</v>
      </c>
    </row>
    <row r="422" spans="1:8" ht="9" customHeight="1">
      <c r="A422" s="443"/>
    </row>
    <row r="423" spans="1:8" ht="28.35" customHeight="1">
      <c r="A423" s="4981" t="s">
        <v>7500</v>
      </c>
      <c r="B423" s="4981"/>
      <c r="C423" s="4981"/>
      <c r="D423" s="4981"/>
      <c r="E423" s="4981"/>
      <c r="F423" s="4981"/>
      <c r="G423" s="4981"/>
      <c r="H423" s="4981"/>
    </row>
    <row r="424" spans="1:8" ht="9" customHeight="1">
      <c r="A424" s="443"/>
    </row>
    <row r="425" spans="1:8">
      <c r="A425" s="450" t="s">
        <v>7478</v>
      </c>
      <c r="B425" s="467" t="str">
        <f>IF('Part V-Revenues &amp; Expenses'!$K$66=0,"",'Part V-Revenues &amp; Expenses'!$K$66)</f>
        <v/>
      </c>
      <c r="C425" s="450" t="s">
        <v>7479</v>
      </c>
      <c r="D425" s="468" t="s">
        <v>7480</v>
      </c>
    </row>
    <row r="426" spans="1:8" ht="2.1" customHeight="1"/>
    <row r="427" spans="1:8" ht="12.75" customHeight="1">
      <c r="C427" s="447" t="s">
        <v>7481</v>
      </c>
      <c r="D427" s="469" t="s">
        <v>200</v>
      </c>
      <c r="E427" s="470"/>
      <c r="F427" s="4981" t="s">
        <v>7482</v>
      </c>
      <c r="G427" s="4981"/>
      <c r="H427" s="4981"/>
    </row>
    <row r="428" spans="1:8" ht="12.75" customHeight="1">
      <c r="C428" s="471" t="s">
        <v>326</v>
      </c>
      <c r="D428" s="469" t="s">
        <v>208</v>
      </c>
      <c r="E428" s="4981" t="s">
        <v>7483</v>
      </c>
      <c r="F428" s="4981"/>
      <c r="G428" s="4981"/>
      <c r="H428" s="4981"/>
    </row>
    <row r="429" spans="1:8" ht="12.75" customHeight="1">
      <c r="C429" s="2630" t="s">
        <v>7484</v>
      </c>
      <c r="E429" s="4981" t="s">
        <v>7485</v>
      </c>
      <c r="F429" s="4981"/>
      <c r="G429" s="4981"/>
      <c r="H429" s="4981"/>
    </row>
    <row r="430" spans="1:8" ht="12.75" customHeight="1">
      <c r="C430" s="981"/>
      <c r="D430" s="980" t="s">
        <v>6814</v>
      </c>
      <c r="E430" s="4982" t="s">
        <v>7486</v>
      </c>
      <c r="F430" s="4982"/>
      <c r="G430" s="4982"/>
      <c r="H430" s="4982"/>
    </row>
    <row r="431" spans="1:8" ht="3" customHeight="1">
      <c r="D431" s="469"/>
      <c r="E431" s="2635"/>
      <c r="F431" s="2635"/>
      <c r="G431" s="2635"/>
      <c r="H431" s="2635"/>
    </row>
    <row r="432" spans="1:8" ht="12.75" customHeight="1">
      <c r="C432" s="447" t="s">
        <v>7481</v>
      </c>
      <c r="D432" s="469" t="s">
        <v>200</v>
      </c>
      <c r="E432" s="470"/>
      <c r="F432" s="466" t="s">
        <v>7482</v>
      </c>
      <c r="G432" s="466"/>
      <c r="H432" s="466"/>
    </row>
    <row r="433" spans="1:8" ht="12.75" customHeight="1">
      <c r="C433" s="471" t="s">
        <v>326</v>
      </c>
      <c r="D433" s="469" t="s">
        <v>208</v>
      </c>
      <c r="E433" s="4981" t="s">
        <v>7483</v>
      </c>
      <c r="F433" s="4981"/>
      <c r="G433" s="4981"/>
      <c r="H433" s="4981"/>
    </row>
    <row r="434" spans="1:8" ht="12.75" customHeight="1">
      <c r="C434" s="2630" t="s">
        <v>7484</v>
      </c>
      <c r="E434" s="4981" t="s">
        <v>7485</v>
      </c>
      <c r="F434" s="4981"/>
      <c r="G434" s="4981"/>
      <c r="H434" s="4981"/>
    </row>
    <row r="435" spans="1:8" ht="12.75" customHeight="1">
      <c r="C435" s="981"/>
      <c r="D435" s="980" t="s">
        <v>6814</v>
      </c>
      <c r="E435" s="4982" t="s">
        <v>7486</v>
      </c>
      <c r="F435" s="4982"/>
      <c r="G435" s="4982"/>
      <c r="H435" s="4982"/>
    </row>
    <row r="436" spans="1:8" ht="3" customHeight="1">
      <c r="D436" s="469"/>
      <c r="E436" s="2635"/>
      <c r="F436" s="2635"/>
      <c r="G436" s="2635"/>
      <c r="H436" s="2635"/>
    </row>
    <row r="437" spans="1:8" ht="12.75" customHeight="1">
      <c r="C437" s="447" t="s">
        <v>7481</v>
      </c>
      <c r="D437" s="469" t="s">
        <v>200</v>
      </c>
      <c r="E437" s="470"/>
      <c r="F437" s="466" t="s">
        <v>7482</v>
      </c>
      <c r="G437" s="466"/>
      <c r="H437" s="466"/>
    </row>
    <row r="438" spans="1:8" ht="12.75" customHeight="1">
      <c r="C438" s="471" t="s">
        <v>326</v>
      </c>
      <c r="D438" s="469" t="s">
        <v>208</v>
      </c>
      <c r="E438" s="4981" t="s">
        <v>7483</v>
      </c>
      <c r="F438" s="4981"/>
      <c r="G438" s="4981"/>
      <c r="H438" s="4981"/>
    </row>
    <row r="439" spans="1:8" ht="12.75" customHeight="1">
      <c r="C439" s="2630" t="s">
        <v>7484</v>
      </c>
      <c r="E439" s="4981" t="s">
        <v>7485</v>
      </c>
      <c r="F439" s="4981"/>
      <c r="G439" s="4981"/>
      <c r="H439" s="4981"/>
    </row>
    <row r="440" spans="1:8" ht="12.75" customHeight="1">
      <c r="C440" s="981"/>
      <c r="D440" s="980" t="s">
        <v>6814</v>
      </c>
      <c r="E440" s="4982" t="s">
        <v>7486</v>
      </c>
      <c r="F440" s="4982"/>
      <c r="G440" s="4982"/>
      <c r="H440" s="4982"/>
    </row>
    <row r="441" spans="1:8" ht="6" customHeight="1">
      <c r="D441" s="469"/>
      <c r="E441" s="2635"/>
      <c r="F441" s="2635"/>
      <c r="G441" s="2635"/>
      <c r="H441" s="2635"/>
    </row>
    <row r="442" spans="1:8">
      <c r="A442" s="450" t="s">
        <v>7478</v>
      </c>
      <c r="B442" s="467">
        <f>IF('Part V-Revenues &amp; Expenses'!$L$66=0,"",'Part V-Revenues &amp; Expenses'!$L$66)</f>
        <v>2</v>
      </c>
      <c r="C442" s="450" t="s">
        <v>7487</v>
      </c>
      <c r="D442" s="468" t="s">
        <v>7488</v>
      </c>
    </row>
    <row r="443" spans="1:8" ht="2.1" customHeight="1"/>
    <row r="444" spans="1:8" ht="12.75" customHeight="1">
      <c r="C444" s="447" t="s">
        <v>7481</v>
      </c>
      <c r="D444" s="469" t="s">
        <v>200</v>
      </c>
      <c r="E444" s="470"/>
      <c r="F444" s="466" t="s">
        <v>7482</v>
      </c>
      <c r="G444" s="466"/>
      <c r="H444" s="466"/>
    </row>
    <row r="445" spans="1:8" ht="12.75" customHeight="1">
      <c r="C445" s="471" t="s">
        <v>326</v>
      </c>
      <c r="D445" s="469" t="s">
        <v>208</v>
      </c>
      <c r="E445" s="4981" t="s">
        <v>7483</v>
      </c>
      <c r="F445" s="4981"/>
      <c r="G445" s="4981"/>
      <c r="H445" s="4981"/>
    </row>
    <row r="446" spans="1:8" ht="12.75" customHeight="1">
      <c r="C446" s="2630" t="s">
        <v>7484</v>
      </c>
      <c r="E446" s="4981" t="s">
        <v>7485</v>
      </c>
      <c r="F446" s="4981"/>
      <c r="G446" s="4981"/>
      <c r="H446" s="4981"/>
    </row>
    <row r="447" spans="1:8" ht="12.75" customHeight="1">
      <c r="C447" s="981"/>
      <c r="D447" s="472" t="s">
        <v>6814</v>
      </c>
      <c r="E447" s="4981" t="s">
        <v>7486</v>
      </c>
      <c r="F447" s="4981"/>
      <c r="G447" s="4981"/>
      <c r="H447" s="4981"/>
    </row>
    <row r="448" spans="1:8" ht="3" customHeight="1">
      <c r="D448" s="469"/>
      <c r="E448" s="2635"/>
      <c r="F448" s="2635"/>
      <c r="G448" s="2635"/>
      <c r="H448" s="2635"/>
    </row>
    <row r="449" spans="1:8" ht="12.75" customHeight="1">
      <c r="C449" s="447" t="s">
        <v>7481</v>
      </c>
      <c r="D449" s="469" t="s">
        <v>200</v>
      </c>
      <c r="E449" s="470"/>
      <c r="F449" s="466" t="s">
        <v>7482</v>
      </c>
      <c r="G449" s="466"/>
      <c r="H449" s="466"/>
    </row>
    <row r="450" spans="1:8" ht="12.75" customHeight="1">
      <c r="C450" s="471" t="s">
        <v>326</v>
      </c>
      <c r="D450" s="469" t="s">
        <v>208</v>
      </c>
      <c r="E450" s="4981" t="s">
        <v>7483</v>
      </c>
      <c r="F450" s="4981"/>
      <c r="G450" s="4981"/>
      <c r="H450" s="4981"/>
    </row>
    <row r="451" spans="1:8" ht="12.75" customHeight="1">
      <c r="C451" s="2630" t="s">
        <v>7484</v>
      </c>
      <c r="E451" s="4981" t="s">
        <v>7485</v>
      </c>
      <c r="F451" s="4981"/>
      <c r="G451" s="4981"/>
      <c r="H451" s="4981"/>
    </row>
    <row r="452" spans="1:8" ht="12.75" customHeight="1">
      <c r="C452" s="981"/>
      <c r="D452" s="980" t="s">
        <v>6814</v>
      </c>
      <c r="E452" s="4982" t="s">
        <v>7486</v>
      </c>
      <c r="F452" s="4982"/>
      <c r="G452" s="4982"/>
      <c r="H452" s="4982"/>
    </row>
    <row r="453" spans="1:8" ht="3" customHeight="1">
      <c r="D453" s="469"/>
      <c r="E453" s="2635"/>
      <c r="F453" s="2635"/>
      <c r="G453" s="2635"/>
      <c r="H453" s="2635"/>
    </row>
    <row r="454" spans="1:8" ht="12.75" customHeight="1">
      <c r="C454" s="447" t="s">
        <v>7481</v>
      </c>
      <c r="D454" s="469" t="s">
        <v>200</v>
      </c>
      <c r="E454" s="470"/>
      <c r="F454" s="466" t="s">
        <v>7482</v>
      </c>
      <c r="G454" s="466"/>
      <c r="H454" s="466"/>
    </row>
    <row r="455" spans="1:8" ht="12.75" customHeight="1">
      <c r="C455" s="471" t="s">
        <v>326</v>
      </c>
      <c r="D455" s="469" t="s">
        <v>208</v>
      </c>
      <c r="E455" s="4981" t="s">
        <v>7483</v>
      </c>
      <c r="F455" s="4981"/>
      <c r="G455" s="4981"/>
      <c r="H455" s="4981"/>
    </row>
    <row r="456" spans="1:8" ht="12.75" customHeight="1">
      <c r="C456" s="2630" t="s">
        <v>7484</v>
      </c>
      <c r="E456" s="4981" t="s">
        <v>7485</v>
      </c>
      <c r="F456" s="4981"/>
      <c r="G456" s="4981"/>
      <c r="H456" s="4981"/>
    </row>
    <row r="457" spans="1:8" ht="12.75" customHeight="1">
      <c r="C457" s="981"/>
      <c r="D457" s="980" t="s">
        <v>6814</v>
      </c>
      <c r="E457" s="4982" t="s">
        <v>7486</v>
      </c>
      <c r="F457" s="4982"/>
      <c r="G457" s="4982"/>
      <c r="H457" s="4982"/>
    </row>
    <row r="458" spans="1:8" ht="6" customHeight="1">
      <c r="D458" s="469"/>
      <c r="E458" s="2635"/>
      <c r="F458" s="2635"/>
      <c r="G458" s="2635"/>
      <c r="H458" s="2635"/>
    </row>
    <row r="459" spans="1:8">
      <c r="A459" s="450" t="s">
        <v>7478</v>
      </c>
      <c r="B459" s="467">
        <f>IF('Part V-Revenues &amp; Expenses'!$M$66=0,"",'Part V-Revenues &amp; Expenses'!$M$66)</f>
        <v>4</v>
      </c>
      <c r="C459" s="450" t="s">
        <v>7489</v>
      </c>
      <c r="D459" s="468" t="s">
        <v>7490</v>
      </c>
    </row>
    <row r="460" spans="1:8" ht="2.1" customHeight="1"/>
    <row r="461" spans="1:8" ht="12.75" customHeight="1">
      <c r="C461" s="447" t="s">
        <v>7481</v>
      </c>
      <c r="D461" s="469" t="s">
        <v>200</v>
      </c>
      <c r="E461" s="470"/>
      <c r="F461" s="466" t="s">
        <v>7482</v>
      </c>
      <c r="G461" s="466"/>
      <c r="H461" s="466"/>
    </row>
    <row r="462" spans="1:8" ht="12.75" customHeight="1">
      <c r="C462" s="471" t="s">
        <v>326</v>
      </c>
      <c r="D462" s="469" t="s">
        <v>208</v>
      </c>
      <c r="E462" s="4981" t="s">
        <v>7483</v>
      </c>
      <c r="F462" s="4981"/>
      <c r="G462" s="4981"/>
      <c r="H462" s="4981"/>
    </row>
    <row r="463" spans="1:8" ht="12.75" customHeight="1">
      <c r="C463" s="2630" t="s">
        <v>7484</v>
      </c>
      <c r="E463" s="4981" t="s">
        <v>7485</v>
      </c>
      <c r="F463" s="4981"/>
      <c r="G463" s="4981"/>
      <c r="H463" s="4981"/>
    </row>
    <row r="464" spans="1:8" ht="12.75" customHeight="1">
      <c r="C464" s="981"/>
      <c r="D464" s="472" t="s">
        <v>6814</v>
      </c>
      <c r="E464" s="4981" t="s">
        <v>7486</v>
      </c>
      <c r="F464" s="4981"/>
      <c r="G464" s="4981"/>
      <c r="H464" s="4981"/>
    </row>
    <row r="465" spans="1:8" ht="3" customHeight="1">
      <c r="D465" s="469"/>
      <c r="E465" s="2635"/>
      <c r="F465" s="2635"/>
      <c r="G465" s="2635"/>
      <c r="H465" s="2635"/>
    </row>
    <row r="466" spans="1:8" ht="12.75" customHeight="1">
      <c r="C466" s="447" t="s">
        <v>7481</v>
      </c>
      <c r="D466" s="469" t="s">
        <v>200</v>
      </c>
      <c r="E466" s="470"/>
      <c r="F466" s="466" t="s">
        <v>7482</v>
      </c>
      <c r="G466" s="466"/>
      <c r="H466" s="466"/>
    </row>
    <row r="467" spans="1:8" ht="12.75" customHeight="1">
      <c r="C467" s="471" t="s">
        <v>326</v>
      </c>
      <c r="D467" s="469" t="s">
        <v>208</v>
      </c>
      <c r="E467" s="4981" t="s">
        <v>7483</v>
      </c>
      <c r="F467" s="4981"/>
      <c r="G467" s="4981"/>
      <c r="H467" s="4981"/>
    </row>
    <row r="468" spans="1:8" ht="12.75" customHeight="1">
      <c r="C468" s="2630" t="s">
        <v>7484</v>
      </c>
      <c r="E468" s="4981" t="s">
        <v>7485</v>
      </c>
      <c r="F468" s="4981"/>
      <c r="G468" s="4981"/>
      <c r="H468" s="4981"/>
    </row>
    <row r="469" spans="1:8" ht="12.75" customHeight="1">
      <c r="C469" s="981"/>
      <c r="D469" s="980" t="s">
        <v>6814</v>
      </c>
      <c r="E469" s="4982" t="s">
        <v>7486</v>
      </c>
      <c r="F469" s="4982"/>
      <c r="G469" s="4982"/>
      <c r="H469" s="4982"/>
    </row>
    <row r="470" spans="1:8" ht="3" customHeight="1">
      <c r="D470" s="469"/>
      <c r="E470" s="2635"/>
      <c r="F470" s="2635"/>
      <c r="G470" s="2635"/>
      <c r="H470" s="2635"/>
    </row>
    <row r="471" spans="1:8" ht="12.75" customHeight="1">
      <c r="C471" s="447" t="s">
        <v>7481</v>
      </c>
      <c r="D471" s="469" t="s">
        <v>200</v>
      </c>
      <c r="E471" s="470"/>
      <c r="F471" s="466" t="s">
        <v>7482</v>
      </c>
      <c r="G471" s="466"/>
      <c r="H471" s="466"/>
    </row>
    <row r="472" spans="1:8" ht="12.75" customHeight="1">
      <c r="C472" s="471" t="s">
        <v>326</v>
      </c>
      <c r="D472" s="469" t="s">
        <v>208</v>
      </c>
      <c r="E472" s="4981" t="s">
        <v>7483</v>
      </c>
      <c r="F472" s="4981"/>
      <c r="G472" s="4981"/>
      <c r="H472" s="4981"/>
    </row>
    <row r="473" spans="1:8" ht="12.75" customHeight="1">
      <c r="C473" s="2630" t="s">
        <v>7484</v>
      </c>
      <c r="E473" s="4981" t="s">
        <v>7485</v>
      </c>
      <c r="F473" s="4981"/>
      <c r="G473" s="4981"/>
      <c r="H473" s="4981"/>
    </row>
    <row r="474" spans="1:8" ht="12.75" customHeight="1">
      <c r="C474" s="981"/>
      <c r="D474" s="980" t="s">
        <v>6814</v>
      </c>
      <c r="E474" s="4982" t="s">
        <v>7486</v>
      </c>
      <c r="F474" s="4982"/>
      <c r="G474" s="4982"/>
      <c r="H474" s="4982"/>
    </row>
    <row r="475" spans="1:8" ht="6" customHeight="1">
      <c r="D475" s="469"/>
      <c r="E475" s="2635"/>
      <c r="F475" s="2635"/>
      <c r="G475" s="2635"/>
      <c r="H475" s="2635"/>
    </row>
    <row r="476" spans="1:8">
      <c r="A476" s="450" t="s">
        <v>7478</v>
      </c>
      <c r="B476" s="467" t="str">
        <f>IF('Part V-Revenues &amp; Expenses'!$N$66=0,"",'Part V-Revenues &amp; Expenses'!$N$66)</f>
        <v/>
      </c>
      <c r="C476" s="450" t="s">
        <v>7491</v>
      </c>
      <c r="D476" s="468" t="s">
        <v>7492</v>
      </c>
    </row>
    <row r="477" spans="1:8" ht="2.1" customHeight="1"/>
    <row r="478" spans="1:8" ht="12.75" customHeight="1">
      <c r="C478" s="447" t="s">
        <v>7481</v>
      </c>
      <c r="D478" s="469" t="s">
        <v>200</v>
      </c>
      <c r="E478" s="470"/>
      <c r="F478" s="466" t="s">
        <v>7482</v>
      </c>
      <c r="G478" s="466"/>
      <c r="H478" s="466"/>
    </row>
    <row r="479" spans="1:8" ht="12.75" customHeight="1">
      <c r="C479" s="471" t="s">
        <v>326</v>
      </c>
      <c r="D479" s="469" t="s">
        <v>208</v>
      </c>
      <c r="E479" s="4981" t="s">
        <v>7483</v>
      </c>
      <c r="F479" s="4981"/>
      <c r="G479" s="4981"/>
      <c r="H479" s="4981"/>
    </row>
    <row r="480" spans="1:8" ht="12.75" customHeight="1">
      <c r="C480" s="2630" t="s">
        <v>7484</v>
      </c>
      <c r="E480" s="4981" t="s">
        <v>7485</v>
      </c>
      <c r="F480" s="4981"/>
      <c r="G480" s="4981"/>
      <c r="H480" s="4981"/>
    </row>
    <row r="481" spans="1:11" ht="12.75" customHeight="1">
      <c r="C481" s="981"/>
      <c r="D481" s="472" t="s">
        <v>6814</v>
      </c>
      <c r="E481" s="4981" t="s">
        <v>7486</v>
      </c>
      <c r="F481" s="4981"/>
      <c r="G481" s="4981"/>
      <c r="H481" s="4981"/>
    </row>
    <row r="482" spans="1:11" ht="3" customHeight="1">
      <c r="D482" s="469"/>
      <c r="E482" s="2635"/>
      <c r="F482" s="2635"/>
      <c r="G482" s="2635"/>
      <c r="H482" s="2635"/>
    </row>
    <row r="483" spans="1:11" ht="12.75" customHeight="1">
      <c r="C483" s="447" t="s">
        <v>7481</v>
      </c>
      <c r="D483" s="469" t="s">
        <v>200</v>
      </c>
      <c r="E483" s="470"/>
      <c r="F483" s="466" t="s">
        <v>7482</v>
      </c>
      <c r="G483" s="466"/>
      <c r="H483" s="466"/>
    </row>
    <row r="484" spans="1:11" ht="12.75" customHeight="1">
      <c r="C484" s="471" t="s">
        <v>326</v>
      </c>
      <c r="D484" s="469" t="s">
        <v>208</v>
      </c>
      <c r="E484" s="4981" t="s">
        <v>7483</v>
      </c>
      <c r="F484" s="4981"/>
      <c r="G484" s="4981"/>
      <c r="H484" s="4981"/>
    </row>
    <row r="485" spans="1:11" ht="12.75" customHeight="1">
      <c r="C485" s="2630" t="s">
        <v>7484</v>
      </c>
      <c r="E485" s="4981" t="s">
        <v>7485</v>
      </c>
      <c r="F485" s="4981"/>
      <c r="G485" s="4981"/>
      <c r="H485" s="4981"/>
    </row>
    <row r="486" spans="1:11" ht="12.75" customHeight="1">
      <c r="C486" s="981"/>
      <c r="D486" s="980" t="s">
        <v>6814</v>
      </c>
      <c r="E486" s="4982" t="s">
        <v>7486</v>
      </c>
      <c r="F486" s="4982"/>
      <c r="G486" s="4982"/>
      <c r="H486" s="4982"/>
    </row>
    <row r="487" spans="1:11" ht="3" customHeight="1">
      <c r="D487" s="469"/>
      <c r="E487" s="2635"/>
      <c r="F487" s="2635"/>
      <c r="G487" s="2635"/>
      <c r="H487" s="2635"/>
    </row>
    <row r="488" spans="1:11" ht="12.75" customHeight="1">
      <c r="C488" s="447" t="s">
        <v>7481</v>
      </c>
      <c r="D488" s="469" t="s">
        <v>200</v>
      </c>
      <c r="E488" s="470"/>
      <c r="F488" s="466" t="s">
        <v>7482</v>
      </c>
      <c r="G488" s="466"/>
      <c r="H488" s="466"/>
    </row>
    <row r="489" spans="1:11" ht="12.75" customHeight="1">
      <c r="C489" s="471" t="s">
        <v>326</v>
      </c>
      <c r="D489" s="469" t="s">
        <v>208</v>
      </c>
      <c r="E489" s="4981" t="s">
        <v>7483</v>
      </c>
      <c r="F489" s="4981"/>
      <c r="G489" s="4981"/>
      <c r="H489" s="4981"/>
    </row>
    <row r="490" spans="1:11" ht="12.75" customHeight="1">
      <c r="C490" s="2630" t="s">
        <v>7484</v>
      </c>
      <c r="E490" s="4981" t="s">
        <v>7485</v>
      </c>
      <c r="F490" s="4981"/>
      <c r="G490" s="4981"/>
      <c r="H490" s="4981"/>
    </row>
    <row r="491" spans="1:11" ht="12.75" customHeight="1">
      <c r="C491" s="981"/>
      <c r="D491" s="980" t="s">
        <v>6814</v>
      </c>
      <c r="E491" s="4982" t="s">
        <v>7486</v>
      </c>
      <c r="F491" s="4982"/>
      <c r="G491" s="4982"/>
      <c r="H491" s="4982"/>
    </row>
    <row r="492" spans="1:11" ht="6" customHeight="1">
      <c r="D492" s="469"/>
      <c r="E492" s="2635"/>
      <c r="F492" s="2635"/>
      <c r="G492" s="2635"/>
      <c r="H492" s="2635"/>
    </row>
    <row r="493" spans="1:11">
      <c r="A493" s="450" t="s">
        <v>7478</v>
      </c>
      <c r="B493" s="467" t="str">
        <f>IF('Part V-Revenues &amp; Expenses'!$O$66=0,"",'Part V-Revenues &amp; Expenses'!$O$66)</f>
        <v/>
      </c>
      <c r="C493" s="450" t="s">
        <v>7493</v>
      </c>
      <c r="D493" s="468" t="s">
        <v>7494</v>
      </c>
    </row>
    <row r="494" spans="1:11" ht="2.1" customHeight="1"/>
    <row r="495" spans="1:11" ht="12.75" customHeight="1">
      <c r="C495" s="447" t="s">
        <v>7481</v>
      </c>
      <c r="D495" s="469" t="s">
        <v>200</v>
      </c>
      <c r="E495" s="470"/>
      <c r="F495" s="4981" t="s">
        <v>7482</v>
      </c>
      <c r="G495" s="4981"/>
      <c r="H495" s="4981"/>
      <c r="K495" s="306" t="s">
        <v>7021</v>
      </c>
    </row>
    <row r="496" spans="1:11" ht="12.75" customHeight="1">
      <c r="C496" s="471" t="s">
        <v>326</v>
      </c>
      <c r="D496" s="469" t="s">
        <v>208</v>
      </c>
      <c r="E496" s="4981" t="s">
        <v>7495</v>
      </c>
      <c r="F496" s="4981"/>
      <c r="G496" s="4981"/>
      <c r="H496" s="4981"/>
    </row>
    <row r="497" spans="1:8" ht="12.75" customHeight="1">
      <c r="E497" s="4981" t="s">
        <v>7485</v>
      </c>
      <c r="F497" s="4981"/>
      <c r="G497" s="4981"/>
      <c r="H497" s="4981"/>
    </row>
    <row r="498" spans="1:8" ht="12.75" customHeight="1">
      <c r="D498" s="472" t="s">
        <v>6814</v>
      </c>
      <c r="E498" s="4981" t="s">
        <v>7486</v>
      </c>
      <c r="F498" s="4981"/>
      <c r="G498" s="4981"/>
      <c r="H498" s="4981"/>
    </row>
    <row r="499" spans="1:8" ht="9" customHeight="1" thickBot="1"/>
    <row r="500" spans="1:8" ht="16.350000000000001" customHeight="1" thickBot="1">
      <c r="A500" s="4988">
        <v>80</v>
      </c>
      <c r="B500" s="4989"/>
      <c r="C500" s="982" t="s">
        <v>1212</v>
      </c>
    </row>
    <row r="501" spans="1:8" ht="9" customHeight="1">
      <c r="A501" s="443"/>
    </row>
    <row r="502" spans="1:8" ht="28.35" customHeight="1">
      <c r="A502" s="4981" t="s">
        <v>7501</v>
      </c>
      <c r="B502" s="4981"/>
      <c r="C502" s="4981"/>
      <c r="D502" s="4981"/>
      <c r="E502" s="4981"/>
      <c r="F502" s="4981"/>
      <c r="G502" s="4981"/>
      <c r="H502" s="4981"/>
    </row>
    <row r="503" spans="1:8" ht="9" customHeight="1">
      <c r="A503" s="443"/>
    </row>
    <row r="504" spans="1:8">
      <c r="A504" s="450" t="s">
        <v>7478</v>
      </c>
      <c r="B504" s="467" t="str">
        <f>IF('Part V-Revenues &amp; Expenses'!$K$65=0,"",'Part V-Revenues &amp; Expenses'!$K$65)</f>
        <v/>
      </c>
      <c r="C504" s="450" t="s">
        <v>7479</v>
      </c>
      <c r="D504" s="468" t="s">
        <v>7480</v>
      </c>
    </row>
    <row r="505" spans="1:8" ht="2.1" customHeight="1"/>
    <row r="506" spans="1:8" ht="12.75" customHeight="1">
      <c r="C506" s="447" t="s">
        <v>7481</v>
      </c>
      <c r="D506" s="469" t="s">
        <v>200</v>
      </c>
      <c r="E506" s="470"/>
      <c r="F506" s="4981" t="s">
        <v>7482</v>
      </c>
      <c r="G506" s="4981"/>
      <c r="H506" s="4981"/>
    </row>
    <row r="507" spans="1:8" ht="12.75" customHeight="1">
      <c r="C507" s="471" t="s">
        <v>326</v>
      </c>
      <c r="D507" s="469" t="s">
        <v>208</v>
      </c>
      <c r="E507" s="4981" t="s">
        <v>7483</v>
      </c>
      <c r="F507" s="4981"/>
      <c r="G507" s="4981"/>
      <c r="H507" s="4981"/>
    </row>
    <row r="508" spans="1:8" ht="12.75" customHeight="1">
      <c r="C508" s="2630" t="s">
        <v>7484</v>
      </c>
      <c r="E508" s="4981" t="s">
        <v>7485</v>
      </c>
      <c r="F508" s="4981"/>
      <c r="G508" s="4981"/>
      <c r="H508" s="4981"/>
    </row>
    <row r="509" spans="1:8" ht="12.75" customHeight="1">
      <c r="C509" s="981"/>
      <c r="D509" s="980" t="s">
        <v>6814</v>
      </c>
      <c r="E509" s="4982" t="s">
        <v>7486</v>
      </c>
      <c r="F509" s="4982"/>
      <c r="G509" s="4982"/>
      <c r="H509" s="4982"/>
    </row>
    <row r="510" spans="1:8" ht="3" customHeight="1">
      <c r="D510" s="469"/>
      <c r="E510" s="2635"/>
      <c r="F510" s="2635"/>
      <c r="G510" s="2635"/>
      <c r="H510" s="2635"/>
    </row>
    <row r="511" spans="1:8" ht="12.75" customHeight="1">
      <c r="C511" s="447" t="s">
        <v>7481</v>
      </c>
      <c r="D511" s="469" t="s">
        <v>200</v>
      </c>
      <c r="E511" s="470"/>
      <c r="F511" s="466" t="s">
        <v>7482</v>
      </c>
      <c r="G511" s="466"/>
      <c r="H511" s="466"/>
    </row>
    <row r="512" spans="1:8" ht="12.75" customHeight="1">
      <c r="C512" s="471" t="s">
        <v>326</v>
      </c>
      <c r="D512" s="469" t="s">
        <v>208</v>
      </c>
      <c r="E512" s="4981" t="s">
        <v>7483</v>
      </c>
      <c r="F512" s="4981"/>
      <c r="G512" s="4981"/>
      <c r="H512" s="4981"/>
    </row>
    <row r="513" spans="1:8" ht="12.75" customHeight="1">
      <c r="C513" s="2630" t="s">
        <v>7484</v>
      </c>
      <c r="E513" s="4981" t="s">
        <v>7485</v>
      </c>
      <c r="F513" s="4981"/>
      <c r="G513" s="4981"/>
      <c r="H513" s="4981"/>
    </row>
    <row r="514" spans="1:8" ht="12.75" customHeight="1">
      <c r="C514" s="981"/>
      <c r="D514" s="980" t="s">
        <v>6814</v>
      </c>
      <c r="E514" s="4982" t="s">
        <v>7486</v>
      </c>
      <c r="F514" s="4982"/>
      <c r="G514" s="4982"/>
      <c r="H514" s="4982"/>
    </row>
    <row r="515" spans="1:8" ht="3" customHeight="1">
      <c r="D515" s="469"/>
      <c r="E515" s="2635"/>
      <c r="F515" s="2635"/>
      <c r="G515" s="2635"/>
      <c r="H515" s="2635"/>
    </row>
    <row r="516" spans="1:8" ht="12.75" customHeight="1">
      <c r="C516" s="447" t="s">
        <v>7481</v>
      </c>
      <c r="D516" s="469" t="s">
        <v>200</v>
      </c>
      <c r="E516" s="470"/>
      <c r="F516" s="466" t="s">
        <v>7482</v>
      </c>
      <c r="G516" s="466"/>
      <c r="H516" s="466"/>
    </row>
    <row r="517" spans="1:8" ht="12.75" customHeight="1">
      <c r="C517" s="471" t="s">
        <v>326</v>
      </c>
      <c r="D517" s="469" t="s">
        <v>208</v>
      </c>
      <c r="E517" s="4981" t="s">
        <v>7483</v>
      </c>
      <c r="F517" s="4981"/>
      <c r="G517" s="4981"/>
      <c r="H517" s="4981"/>
    </row>
    <row r="518" spans="1:8" ht="12.75" customHeight="1">
      <c r="C518" s="2630" t="s">
        <v>7484</v>
      </c>
      <c r="E518" s="4981" t="s">
        <v>7485</v>
      </c>
      <c r="F518" s="4981"/>
      <c r="G518" s="4981"/>
      <c r="H518" s="4981"/>
    </row>
    <row r="519" spans="1:8" ht="12.75" customHeight="1">
      <c r="C519" s="981"/>
      <c r="D519" s="980" t="s">
        <v>6814</v>
      </c>
      <c r="E519" s="4982" t="s">
        <v>7486</v>
      </c>
      <c r="F519" s="4982"/>
      <c r="G519" s="4982"/>
      <c r="H519" s="4982"/>
    </row>
    <row r="520" spans="1:8" ht="6" customHeight="1">
      <c r="D520" s="469"/>
      <c r="E520" s="2635"/>
      <c r="F520" s="2635"/>
      <c r="G520" s="2635"/>
      <c r="H520" s="2635"/>
    </row>
    <row r="521" spans="1:8">
      <c r="A521" s="450" t="s">
        <v>7478</v>
      </c>
      <c r="B521" s="467" t="str">
        <f>IF('Part V-Revenues &amp; Expenses'!$L$65=0,"",'Part V-Revenues &amp; Expenses'!$L$65)</f>
        <v/>
      </c>
      <c r="C521" s="450" t="s">
        <v>7487</v>
      </c>
      <c r="D521" s="468" t="s">
        <v>7488</v>
      </c>
    </row>
    <row r="522" spans="1:8" ht="2.1" customHeight="1"/>
    <row r="523" spans="1:8" ht="12.75" customHeight="1">
      <c r="C523" s="447" t="s">
        <v>7481</v>
      </c>
      <c r="D523" s="469" t="s">
        <v>200</v>
      </c>
      <c r="E523" s="470"/>
      <c r="F523" s="466" t="s">
        <v>7482</v>
      </c>
      <c r="G523" s="466"/>
      <c r="H523" s="466"/>
    </row>
    <row r="524" spans="1:8" ht="12.75" customHeight="1">
      <c r="C524" s="471" t="s">
        <v>326</v>
      </c>
      <c r="D524" s="469" t="s">
        <v>208</v>
      </c>
      <c r="E524" s="4981" t="s">
        <v>7483</v>
      </c>
      <c r="F524" s="4981"/>
      <c r="G524" s="4981"/>
      <c r="H524" s="4981"/>
    </row>
    <row r="525" spans="1:8" ht="12.75" customHeight="1">
      <c r="C525" s="2630" t="s">
        <v>7484</v>
      </c>
      <c r="E525" s="4981" t="s">
        <v>7485</v>
      </c>
      <c r="F525" s="4981"/>
      <c r="G525" s="4981"/>
      <c r="H525" s="4981"/>
    </row>
    <row r="526" spans="1:8" ht="12.75" customHeight="1">
      <c r="C526" s="981"/>
      <c r="D526" s="472" t="s">
        <v>6814</v>
      </c>
      <c r="E526" s="4981" t="s">
        <v>7486</v>
      </c>
      <c r="F526" s="4981"/>
      <c r="G526" s="4981"/>
      <c r="H526" s="4981"/>
    </row>
    <row r="527" spans="1:8" ht="3" customHeight="1">
      <c r="D527" s="469"/>
      <c r="E527" s="2635"/>
      <c r="F527" s="2635"/>
      <c r="G527" s="2635"/>
      <c r="H527" s="2635"/>
    </row>
    <row r="528" spans="1:8" ht="12.75" customHeight="1">
      <c r="C528" s="447" t="s">
        <v>7481</v>
      </c>
      <c r="D528" s="469" t="s">
        <v>200</v>
      </c>
      <c r="E528" s="470"/>
      <c r="F528" s="466" t="s">
        <v>7482</v>
      </c>
      <c r="G528" s="466"/>
      <c r="H528" s="466"/>
    </row>
    <row r="529" spans="1:8" ht="12.75" customHeight="1">
      <c r="C529" s="471" t="s">
        <v>326</v>
      </c>
      <c r="D529" s="469" t="s">
        <v>208</v>
      </c>
      <c r="E529" s="4981" t="s">
        <v>7483</v>
      </c>
      <c r="F529" s="4981"/>
      <c r="G529" s="4981"/>
      <c r="H529" s="4981"/>
    </row>
    <row r="530" spans="1:8" ht="12.75" customHeight="1">
      <c r="C530" s="2630" t="s">
        <v>7484</v>
      </c>
      <c r="E530" s="4981" t="s">
        <v>7485</v>
      </c>
      <c r="F530" s="4981"/>
      <c r="G530" s="4981"/>
      <c r="H530" s="4981"/>
    </row>
    <row r="531" spans="1:8" ht="12.75" customHeight="1">
      <c r="C531" s="981"/>
      <c r="D531" s="980" t="s">
        <v>6814</v>
      </c>
      <c r="E531" s="4982" t="s">
        <v>7486</v>
      </c>
      <c r="F531" s="4982"/>
      <c r="G531" s="4982"/>
      <c r="H531" s="4982"/>
    </row>
    <row r="532" spans="1:8" ht="3" customHeight="1">
      <c r="D532" s="469"/>
      <c r="E532" s="2635"/>
      <c r="F532" s="2635"/>
      <c r="G532" s="2635"/>
      <c r="H532" s="2635"/>
    </row>
    <row r="533" spans="1:8" ht="12.75" customHeight="1">
      <c r="C533" s="447" t="s">
        <v>7481</v>
      </c>
      <c r="D533" s="469" t="s">
        <v>200</v>
      </c>
      <c r="E533" s="470"/>
      <c r="F533" s="466" t="s">
        <v>7482</v>
      </c>
      <c r="G533" s="466"/>
      <c r="H533" s="466"/>
    </row>
    <row r="534" spans="1:8" ht="12.75" customHeight="1">
      <c r="C534" s="471" t="s">
        <v>326</v>
      </c>
      <c r="D534" s="469" t="s">
        <v>208</v>
      </c>
      <c r="E534" s="4981" t="s">
        <v>7483</v>
      </c>
      <c r="F534" s="4981"/>
      <c r="G534" s="4981"/>
      <c r="H534" s="4981"/>
    </row>
    <row r="535" spans="1:8" ht="12.75" customHeight="1">
      <c r="C535" s="2630" t="s">
        <v>7484</v>
      </c>
      <c r="E535" s="4981" t="s">
        <v>7485</v>
      </c>
      <c r="F535" s="4981"/>
      <c r="G535" s="4981"/>
      <c r="H535" s="4981"/>
    </row>
    <row r="536" spans="1:8" ht="12.75" customHeight="1">
      <c r="C536" s="981"/>
      <c r="D536" s="980" t="s">
        <v>6814</v>
      </c>
      <c r="E536" s="4982" t="s">
        <v>7486</v>
      </c>
      <c r="F536" s="4982"/>
      <c r="G536" s="4982"/>
      <c r="H536" s="4982"/>
    </row>
    <row r="537" spans="1:8" ht="6" customHeight="1">
      <c r="D537" s="469"/>
      <c r="E537" s="2635"/>
      <c r="F537" s="2635"/>
      <c r="G537" s="2635"/>
      <c r="H537" s="2635"/>
    </row>
    <row r="538" spans="1:8">
      <c r="A538" s="450" t="s">
        <v>7478</v>
      </c>
      <c r="B538" s="467" t="str">
        <f>IF('Part V-Revenues &amp; Expenses'!$M$65=0,"",'Part V-Revenues &amp; Expenses'!$M$65)</f>
        <v/>
      </c>
      <c r="C538" s="450" t="s">
        <v>7489</v>
      </c>
      <c r="D538" s="468" t="s">
        <v>7490</v>
      </c>
    </row>
    <row r="539" spans="1:8" ht="2.1" customHeight="1"/>
    <row r="540" spans="1:8" ht="12.75" customHeight="1">
      <c r="C540" s="447" t="s">
        <v>7481</v>
      </c>
      <c r="D540" s="469" t="s">
        <v>200</v>
      </c>
      <c r="E540" s="470"/>
      <c r="F540" s="466" t="s">
        <v>7482</v>
      </c>
      <c r="G540" s="466"/>
      <c r="H540" s="466"/>
    </row>
    <row r="541" spans="1:8" ht="12.75" customHeight="1">
      <c r="C541" s="471" t="s">
        <v>326</v>
      </c>
      <c r="D541" s="469" t="s">
        <v>208</v>
      </c>
      <c r="E541" s="4981" t="s">
        <v>7483</v>
      </c>
      <c r="F541" s="4981"/>
      <c r="G541" s="4981"/>
      <c r="H541" s="4981"/>
    </row>
    <row r="542" spans="1:8" ht="12.75" customHeight="1">
      <c r="C542" s="2630" t="s">
        <v>7484</v>
      </c>
      <c r="E542" s="4981" t="s">
        <v>7485</v>
      </c>
      <c r="F542" s="4981"/>
      <c r="G542" s="4981"/>
      <c r="H542" s="4981"/>
    </row>
    <row r="543" spans="1:8" ht="12.75" customHeight="1">
      <c r="C543" s="981"/>
      <c r="D543" s="472" t="s">
        <v>6814</v>
      </c>
      <c r="E543" s="4981" t="s">
        <v>7486</v>
      </c>
      <c r="F543" s="4981"/>
      <c r="G543" s="4981"/>
      <c r="H543" s="4981"/>
    </row>
    <row r="544" spans="1:8" ht="3" customHeight="1">
      <c r="D544" s="469"/>
      <c r="E544" s="2635"/>
      <c r="F544" s="2635"/>
      <c r="G544" s="2635"/>
      <c r="H544" s="2635"/>
    </row>
    <row r="545" spans="1:8" ht="12.75" customHeight="1">
      <c r="C545" s="447" t="s">
        <v>7481</v>
      </c>
      <c r="D545" s="469" t="s">
        <v>200</v>
      </c>
      <c r="E545" s="470"/>
      <c r="F545" s="466" t="s">
        <v>7482</v>
      </c>
      <c r="G545" s="466"/>
      <c r="H545" s="466"/>
    </row>
    <row r="546" spans="1:8" ht="12.75" customHeight="1">
      <c r="C546" s="471" t="s">
        <v>326</v>
      </c>
      <c r="D546" s="469" t="s">
        <v>208</v>
      </c>
      <c r="E546" s="4981" t="s">
        <v>7483</v>
      </c>
      <c r="F546" s="4981"/>
      <c r="G546" s="4981"/>
      <c r="H546" s="4981"/>
    </row>
    <row r="547" spans="1:8" ht="12.75" customHeight="1">
      <c r="C547" s="2630" t="s">
        <v>7484</v>
      </c>
      <c r="E547" s="4981" t="s">
        <v>7485</v>
      </c>
      <c r="F547" s="4981"/>
      <c r="G547" s="4981"/>
      <c r="H547" s="4981"/>
    </row>
    <row r="548" spans="1:8" ht="12.75" customHeight="1">
      <c r="C548" s="981"/>
      <c r="D548" s="980" t="s">
        <v>6814</v>
      </c>
      <c r="E548" s="4982" t="s">
        <v>7486</v>
      </c>
      <c r="F548" s="4982"/>
      <c r="G548" s="4982"/>
      <c r="H548" s="4982"/>
    </row>
    <row r="549" spans="1:8" ht="3" customHeight="1">
      <c r="D549" s="469"/>
      <c r="E549" s="2635"/>
      <c r="F549" s="2635"/>
      <c r="G549" s="2635"/>
      <c r="H549" s="2635"/>
    </row>
    <row r="550" spans="1:8" ht="12.75" customHeight="1">
      <c r="C550" s="447" t="s">
        <v>7481</v>
      </c>
      <c r="D550" s="469" t="s">
        <v>200</v>
      </c>
      <c r="E550" s="470"/>
      <c r="F550" s="466" t="s">
        <v>7482</v>
      </c>
      <c r="G550" s="466"/>
      <c r="H550" s="466"/>
    </row>
    <row r="551" spans="1:8" ht="12.75" customHeight="1">
      <c r="C551" s="471" t="s">
        <v>326</v>
      </c>
      <c r="D551" s="469" t="s">
        <v>208</v>
      </c>
      <c r="E551" s="4981" t="s">
        <v>7483</v>
      </c>
      <c r="F551" s="4981"/>
      <c r="G551" s="4981"/>
      <c r="H551" s="4981"/>
    </row>
    <row r="552" spans="1:8" ht="12.75" customHeight="1">
      <c r="C552" s="2630" t="s">
        <v>7484</v>
      </c>
      <c r="E552" s="4981" t="s">
        <v>7485</v>
      </c>
      <c r="F552" s="4981"/>
      <c r="G552" s="4981"/>
      <c r="H552" s="4981"/>
    </row>
    <row r="553" spans="1:8" ht="12.75" customHeight="1">
      <c r="C553" s="981"/>
      <c r="D553" s="980" t="s">
        <v>6814</v>
      </c>
      <c r="E553" s="4982" t="s">
        <v>7486</v>
      </c>
      <c r="F553" s="4982"/>
      <c r="G553" s="4982"/>
      <c r="H553" s="4982"/>
    </row>
    <row r="554" spans="1:8" ht="6" customHeight="1">
      <c r="D554" s="469"/>
      <c r="E554" s="2635"/>
      <c r="F554" s="2635"/>
      <c r="G554" s="2635"/>
      <c r="H554" s="2635"/>
    </row>
    <row r="555" spans="1:8">
      <c r="A555" s="450" t="s">
        <v>7478</v>
      </c>
      <c r="B555" s="467" t="str">
        <f>IF('Part V-Revenues &amp; Expenses'!$N$65=0,"",'Part V-Revenues &amp; Expenses'!$N$65)</f>
        <v/>
      </c>
      <c r="C555" s="450" t="s">
        <v>7491</v>
      </c>
      <c r="D555" s="468" t="s">
        <v>7492</v>
      </c>
    </row>
    <row r="556" spans="1:8" ht="2.1" customHeight="1"/>
    <row r="557" spans="1:8" ht="12.75" customHeight="1">
      <c r="C557" s="447" t="s">
        <v>7481</v>
      </c>
      <c r="D557" s="469" t="s">
        <v>200</v>
      </c>
      <c r="E557" s="470"/>
      <c r="F557" s="466" t="s">
        <v>7482</v>
      </c>
      <c r="G557" s="466"/>
      <c r="H557" s="466"/>
    </row>
    <row r="558" spans="1:8" ht="12.75" customHeight="1">
      <c r="C558" s="471" t="s">
        <v>326</v>
      </c>
      <c r="D558" s="469" t="s">
        <v>208</v>
      </c>
      <c r="E558" s="4981" t="s">
        <v>7483</v>
      </c>
      <c r="F558" s="4981"/>
      <c r="G558" s="4981"/>
      <c r="H558" s="4981"/>
    </row>
    <row r="559" spans="1:8" ht="12.75" customHeight="1">
      <c r="C559" s="2630" t="s">
        <v>7484</v>
      </c>
      <c r="E559" s="4981" t="s">
        <v>7485</v>
      </c>
      <c r="F559" s="4981"/>
      <c r="G559" s="4981"/>
      <c r="H559" s="4981"/>
    </row>
    <row r="560" spans="1:8" ht="12.75" customHeight="1">
      <c r="C560" s="981"/>
      <c r="D560" s="472" t="s">
        <v>6814</v>
      </c>
      <c r="E560" s="4981" t="s">
        <v>7486</v>
      </c>
      <c r="F560" s="4981"/>
      <c r="G560" s="4981"/>
      <c r="H560" s="4981"/>
    </row>
    <row r="561" spans="1:11" ht="3" customHeight="1">
      <c r="D561" s="469"/>
      <c r="E561" s="2635"/>
      <c r="F561" s="2635"/>
      <c r="G561" s="2635"/>
      <c r="H561" s="2635"/>
    </row>
    <row r="562" spans="1:11" ht="12.75" customHeight="1">
      <c r="C562" s="447" t="s">
        <v>7481</v>
      </c>
      <c r="D562" s="469" t="s">
        <v>200</v>
      </c>
      <c r="E562" s="470"/>
      <c r="F562" s="466" t="s">
        <v>7482</v>
      </c>
      <c r="G562" s="466"/>
      <c r="H562" s="466"/>
    </row>
    <row r="563" spans="1:11" ht="12.75" customHeight="1">
      <c r="C563" s="471" t="s">
        <v>326</v>
      </c>
      <c r="D563" s="469" t="s">
        <v>208</v>
      </c>
      <c r="E563" s="4981" t="s">
        <v>7483</v>
      </c>
      <c r="F563" s="4981"/>
      <c r="G563" s="4981"/>
      <c r="H563" s="4981"/>
    </row>
    <row r="564" spans="1:11" ht="12.75" customHeight="1">
      <c r="C564" s="2630" t="s">
        <v>7484</v>
      </c>
      <c r="E564" s="4981" t="s">
        <v>7485</v>
      </c>
      <c r="F564" s="4981"/>
      <c r="G564" s="4981"/>
      <c r="H564" s="4981"/>
    </row>
    <row r="565" spans="1:11" ht="12.75" customHeight="1">
      <c r="C565" s="981"/>
      <c r="D565" s="980" t="s">
        <v>6814</v>
      </c>
      <c r="E565" s="4982" t="s">
        <v>7486</v>
      </c>
      <c r="F565" s="4982"/>
      <c r="G565" s="4982"/>
      <c r="H565" s="4982"/>
    </row>
    <row r="566" spans="1:11" ht="3" customHeight="1">
      <c r="D566" s="469"/>
      <c r="E566" s="2635"/>
      <c r="F566" s="2635"/>
      <c r="G566" s="2635"/>
      <c r="H566" s="2635"/>
    </row>
    <row r="567" spans="1:11" ht="12.75" customHeight="1">
      <c r="C567" s="447" t="s">
        <v>7481</v>
      </c>
      <c r="D567" s="469" t="s">
        <v>200</v>
      </c>
      <c r="E567" s="470"/>
      <c r="F567" s="466" t="s">
        <v>7482</v>
      </c>
      <c r="G567" s="466"/>
      <c r="H567" s="466"/>
    </row>
    <row r="568" spans="1:11" ht="12.75" customHeight="1">
      <c r="C568" s="471" t="s">
        <v>326</v>
      </c>
      <c r="D568" s="469" t="s">
        <v>208</v>
      </c>
      <c r="E568" s="4981" t="s">
        <v>7483</v>
      </c>
      <c r="F568" s="4981"/>
      <c r="G568" s="4981"/>
      <c r="H568" s="4981"/>
    </row>
    <row r="569" spans="1:11" ht="12.75" customHeight="1">
      <c r="C569" s="2630" t="s">
        <v>7484</v>
      </c>
      <c r="E569" s="4981" t="s">
        <v>7485</v>
      </c>
      <c r="F569" s="4981"/>
      <c r="G569" s="4981"/>
      <c r="H569" s="4981"/>
    </row>
    <row r="570" spans="1:11" ht="12.75" customHeight="1">
      <c r="C570" s="981"/>
      <c r="D570" s="980" t="s">
        <v>6814</v>
      </c>
      <c r="E570" s="4982" t="s">
        <v>7486</v>
      </c>
      <c r="F570" s="4982"/>
      <c r="G570" s="4982"/>
      <c r="H570" s="4982"/>
    </row>
    <row r="571" spans="1:11" ht="6" customHeight="1">
      <c r="D571" s="469"/>
      <c r="E571" s="2635"/>
      <c r="F571" s="2635"/>
      <c r="G571" s="2635"/>
      <c r="H571" s="2635"/>
    </row>
    <row r="572" spans="1:11">
      <c r="A572" s="450" t="s">
        <v>7478</v>
      </c>
      <c r="B572" s="467" t="str">
        <f>IF('Part V-Revenues &amp; Expenses'!$O$65=0,"",'Part V-Revenues &amp; Expenses'!$O$65)</f>
        <v/>
      </c>
      <c r="C572" s="450" t="s">
        <v>7493</v>
      </c>
      <c r="D572" s="468" t="s">
        <v>7494</v>
      </c>
    </row>
    <row r="573" spans="1:11" ht="2.1" customHeight="1"/>
    <row r="574" spans="1:11" ht="12.75" customHeight="1">
      <c r="C574" s="447" t="s">
        <v>7481</v>
      </c>
      <c r="D574" s="469" t="s">
        <v>200</v>
      </c>
      <c r="E574" s="470"/>
      <c r="F574" s="4981" t="s">
        <v>7482</v>
      </c>
      <c r="G574" s="4981"/>
      <c r="H574" s="4981"/>
      <c r="K574" s="306" t="s">
        <v>7021</v>
      </c>
    </row>
    <row r="575" spans="1:11" ht="12.75" customHeight="1">
      <c r="C575" s="471" t="s">
        <v>326</v>
      </c>
      <c r="D575" s="469" t="s">
        <v>208</v>
      </c>
      <c r="E575" s="4981" t="s">
        <v>7495</v>
      </c>
      <c r="F575" s="4981"/>
      <c r="G575" s="4981"/>
      <c r="H575" s="4981"/>
    </row>
    <row r="576" spans="1:11" ht="12.75" customHeight="1">
      <c r="E576" s="4981" t="s">
        <v>7485</v>
      </c>
      <c r="F576" s="4981"/>
      <c r="G576" s="4981"/>
      <c r="H576" s="4981"/>
    </row>
    <row r="577" spans="4:8" ht="12.75" customHeight="1">
      <c r="D577" s="472" t="s">
        <v>6814</v>
      </c>
      <c r="E577" s="4981" t="s">
        <v>7486</v>
      </c>
      <c r="F577" s="4981"/>
      <c r="G577" s="4981"/>
      <c r="H577" s="4981"/>
    </row>
    <row r="578" spans="4:8" ht="9" customHeight="1"/>
    <row r="579" spans="4:8" ht="7.5" customHeight="1">
      <c r="E579" s="4981"/>
      <c r="F579" s="4981"/>
      <c r="G579" s="4981"/>
      <c r="H579" s="4981"/>
    </row>
  </sheetData>
  <sheetProtection algorithmName="SHA-512" hashValue="DZTPzvedJRoH/qnG96gvsqRAHJV7LbDkoTzw6zEYNft0yxiTf13h0I0aln+tzJeOyRReimGNe5JONbjlRE+A4Q==" saltValue="X4eI9Z8X5cqwx3ZIHNoESg==" spinCount="100000" sheet="1" objects="1" scenarios="1"/>
  <mergeCells count="31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 ref="E553:H553"/>
    <mergeCell ref="E536:H536"/>
    <mergeCell ref="E541:H541"/>
    <mergeCell ref="E542:H542"/>
    <mergeCell ref="E543:H543"/>
    <mergeCell ref="E546:H546"/>
    <mergeCell ref="E529:H529"/>
    <mergeCell ref="E530:H530"/>
    <mergeCell ref="E531:H531"/>
    <mergeCell ref="E534:H534"/>
    <mergeCell ref="E535:H535"/>
    <mergeCell ref="E518:H518"/>
    <mergeCell ref="E519:H519"/>
    <mergeCell ref="E524:H524"/>
    <mergeCell ref="E525:H525"/>
    <mergeCell ref="E526:H526"/>
    <mergeCell ref="E509:H509"/>
    <mergeCell ref="E512:H512"/>
    <mergeCell ref="E513:H513"/>
    <mergeCell ref="E514:H514"/>
    <mergeCell ref="E517:H517"/>
    <mergeCell ref="E498:H498"/>
    <mergeCell ref="A502:H502"/>
    <mergeCell ref="F506:H506"/>
    <mergeCell ref="E507:H507"/>
    <mergeCell ref="E508:H508"/>
    <mergeCell ref="E490:H490"/>
    <mergeCell ref="E491:H491"/>
    <mergeCell ref="F495:H495"/>
    <mergeCell ref="E496:H496"/>
    <mergeCell ref="E497:H497"/>
    <mergeCell ref="E481:H481"/>
    <mergeCell ref="E484:H484"/>
    <mergeCell ref="E485:H485"/>
    <mergeCell ref="E486:H486"/>
    <mergeCell ref="E489:H489"/>
    <mergeCell ref="E472:H472"/>
    <mergeCell ref="E473:H473"/>
    <mergeCell ref="E474:H474"/>
    <mergeCell ref="E479:H479"/>
    <mergeCell ref="E480:H480"/>
    <mergeCell ref="E463:H463"/>
    <mergeCell ref="E464:H464"/>
    <mergeCell ref="E467:H467"/>
    <mergeCell ref="E468:H468"/>
    <mergeCell ref="E469:H469"/>
    <mergeCell ref="E452:H452"/>
    <mergeCell ref="E455:H455"/>
    <mergeCell ref="E456:H456"/>
    <mergeCell ref="E457:H457"/>
    <mergeCell ref="E462:H462"/>
    <mergeCell ref="E445:H445"/>
    <mergeCell ref="E446:H446"/>
    <mergeCell ref="E447:H447"/>
    <mergeCell ref="E450:H450"/>
    <mergeCell ref="E451:H451"/>
    <mergeCell ref="E434:H434"/>
    <mergeCell ref="E435:H435"/>
    <mergeCell ref="E438:H438"/>
    <mergeCell ref="E439:H439"/>
    <mergeCell ref="E440:H440"/>
    <mergeCell ref="F427:H427"/>
    <mergeCell ref="E428:H428"/>
    <mergeCell ref="E429:H429"/>
    <mergeCell ref="E430:H430"/>
    <mergeCell ref="E433:H433"/>
    <mergeCell ref="F416:H416"/>
    <mergeCell ref="E417:H417"/>
    <mergeCell ref="E418:H418"/>
    <mergeCell ref="E419:H419"/>
    <mergeCell ref="A423:H423"/>
    <mergeCell ref="E406:H406"/>
    <mergeCell ref="E407:H407"/>
    <mergeCell ref="E410:H410"/>
    <mergeCell ref="E411:H411"/>
    <mergeCell ref="E412:H412"/>
    <mergeCell ref="E395:H395"/>
    <mergeCell ref="E400:H400"/>
    <mergeCell ref="E401:H401"/>
    <mergeCell ref="E402:H402"/>
    <mergeCell ref="E405:H405"/>
    <mergeCell ref="E388:H388"/>
    <mergeCell ref="E389:H389"/>
    <mergeCell ref="E390:H390"/>
    <mergeCell ref="E393:H393"/>
    <mergeCell ref="E394:H394"/>
    <mergeCell ref="E377:H377"/>
    <mergeCell ref="E378:H378"/>
    <mergeCell ref="E383:H383"/>
    <mergeCell ref="E384:H384"/>
    <mergeCell ref="E385:H385"/>
    <mergeCell ref="E368:H368"/>
    <mergeCell ref="E371:H371"/>
    <mergeCell ref="E372:H372"/>
    <mergeCell ref="E373:H373"/>
    <mergeCell ref="E376:H376"/>
    <mergeCell ref="E359:H359"/>
    <mergeCell ref="E360:H360"/>
    <mergeCell ref="E361:H361"/>
    <mergeCell ref="E366:H366"/>
    <mergeCell ref="E367:H367"/>
    <mergeCell ref="E337:H337"/>
    <mergeCell ref="E338:H338"/>
    <mergeCell ref="E339:H339"/>
    <mergeCell ref="A344:H344"/>
    <mergeCell ref="F348:H348"/>
    <mergeCell ref="E327:H327"/>
    <mergeCell ref="E330:H330"/>
    <mergeCell ref="E331:H331"/>
    <mergeCell ref="E332:H332"/>
    <mergeCell ref="F336:H336"/>
    <mergeCell ref="E320:H320"/>
    <mergeCell ref="E321:H321"/>
    <mergeCell ref="E322:H322"/>
    <mergeCell ref="E325:H325"/>
    <mergeCell ref="E326:H326"/>
    <mergeCell ref="E309:H309"/>
    <mergeCell ref="E310:H310"/>
    <mergeCell ref="E313:H313"/>
    <mergeCell ref="E314:H314"/>
    <mergeCell ref="E315:H315"/>
    <mergeCell ref="E298:H298"/>
    <mergeCell ref="E303:H303"/>
    <mergeCell ref="E304:H304"/>
    <mergeCell ref="E305:H305"/>
    <mergeCell ref="E308:H308"/>
    <mergeCell ref="E291:H291"/>
    <mergeCell ref="E292:H292"/>
    <mergeCell ref="E293:H293"/>
    <mergeCell ref="E296:H296"/>
    <mergeCell ref="E297:H297"/>
    <mergeCell ref="E280:H280"/>
    <mergeCell ref="E281:H281"/>
    <mergeCell ref="E286:H286"/>
    <mergeCell ref="E287:H287"/>
    <mergeCell ref="E288:H288"/>
    <mergeCell ref="E271:H271"/>
    <mergeCell ref="E274:H274"/>
    <mergeCell ref="E275:H275"/>
    <mergeCell ref="E276:H276"/>
    <mergeCell ref="E279:H279"/>
    <mergeCell ref="E260:H260"/>
    <mergeCell ref="A264:H264"/>
    <mergeCell ref="F268:H268"/>
    <mergeCell ref="E269:H269"/>
    <mergeCell ref="E270:H270"/>
    <mergeCell ref="E252:H252"/>
    <mergeCell ref="E253:H253"/>
    <mergeCell ref="F257:H257"/>
    <mergeCell ref="E258:H258"/>
    <mergeCell ref="E259:H259"/>
    <mergeCell ref="E243:H243"/>
    <mergeCell ref="E246:H246"/>
    <mergeCell ref="E247:H247"/>
    <mergeCell ref="E248:H248"/>
    <mergeCell ref="E251:H251"/>
    <mergeCell ref="E234:H234"/>
    <mergeCell ref="E235:H235"/>
    <mergeCell ref="E236:H236"/>
    <mergeCell ref="E241:H241"/>
    <mergeCell ref="E242:H242"/>
    <mergeCell ref="E225:H225"/>
    <mergeCell ref="E226:H226"/>
    <mergeCell ref="E229:H229"/>
    <mergeCell ref="E230:H230"/>
    <mergeCell ref="E231:H231"/>
    <mergeCell ref="E214:H214"/>
    <mergeCell ref="E217:H217"/>
    <mergeCell ref="E218:H218"/>
    <mergeCell ref="E219:H219"/>
    <mergeCell ref="E224:H224"/>
    <mergeCell ref="E207:H207"/>
    <mergeCell ref="E208:H208"/>
    <mergeCell ref="E209:H209"/>
    <mergeCell ref="E212:H212"/>
    <mergeCell ref="E213:H213"/>
    <mergeCell ref="E196:H196"/>
    <mergeCell ref="E197:H197"/>
    <mergeCell ref="E200:H200"/>
    <mergeCell ref="E201:H201"/>
    <mergeCell ref="E202:H202"/>
    <mergeCell ref="F189:H189"/>
    <mergeCell ref="E190:H190"/>
    <mergeCell ref="E191:H191"/>
    <mergeCell ref="E192:H192"/>
    <mergeCell ref="E195:H195"/>
    <mergeCell ref="F178:H178"/>
    <mergeCell ref="E179:H179"/>
    <mergeCell ref="E180:H180"/>
    <mergeCell ref="E181:H181"/>
    <mergeCell ref="A185:H185"/>
    <mergeCell ref="E168:H168"/>
    <mergeCell ref="E169:H169"/>
    <mergeCell ref="E172:H172"/>
    <mergeCell ref="E173:H173"/>
    <mergeCell ref="E174:H174"/>
    <mergeCell ref="E157:H157"/>
    <mergeCell ref="E162:H162"/>
    <mergeCell ref="E163:H163"/>
    <mergeCell ref="E164:H164"/>
    <mergeCell ref="E167:H167"/>
    <mergeCell ref="E150:H150"/>
    <mergeCell ref="E151:H151"/>
    <mergeCell ref="E152:H152"/>
    <mergeCell ref="E155:H155"/>
    <mergeCell ref="E156:H156"/>
    <mergeCell ref="E139:H139"/>
    <mergeCell ref="E140:H140"/>
    <mergeCell ref="E145:H145"/>
    <mergeCell ref="E146:H146"/>
    <mergeCell ref="E147:H147"/>
    <mergeCell ref="E130:H130"/>
    <mergeCell ref="E133:H133"/>
    <mergeCell ref="E134:H134"/>
    <mergeCell ref="E135:H135"/>
    <mergeCell ref="E138:H138"/>
    <mergeCell ref="E121:H121"/>
    <mergeCell ref="E122:H122"/>
    <mergeCell ref="E123:H123"/>
    <mergeCell ref="E128:H128"/>
    <mergeCell ref="E129:H129"/>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140625" defaultRowHeight="15.75"/>
  <cols>
    <col min="1" max="1" width="4.5703125" style="306" customWidth="1"/>
    <col min="2" max="2" width="6" style="306" customWidth="1"/>
    <col min="3" max="3" width="8.140625" style="306" customWidth="1"/>
    <col min="4" max="4" width="7.42578125" style="306" customWidth="1"/>
    <col min="5" max="5" width="7.85546875" style="306" customWidth="1"/>
    <col min="6" max="7" width="6.85546875" style="306" customWidth="1"/>
    <col min="8" max="8" width="5" style="306" customWidth="1"/>
    <col min="9" max="10" width="6.85546875" style="306" customWidth="1"/>
    <col min="11" max="11" width="3.140625" style="996" customWidth="1"/>
    <col min="12" max="13" width="6.85546875" style="306" customWidth="1"/>
    <col min="14" max="14" width="8.140625" style="306" customWidth="1"/>
    <col min="15" max="15" width="9.140625" style="306"/>
    <col min="16" max="17" width="5.5703125" style="306" customWidth="1"/>
    <col min="18" max="18" width="8.140625" style="306" customWidth="1"/>
    <col min="19" max="19" width="5.85546875" style="442" customWidth="1"/>
    <col min="20" max="20" width="5.85546875" style="306" customWidth="1"/>
    <col min="21" max="21" width="3.85546875" style="306" customWidth="1"/>
    <col min="22" max="23" width="5.42578125" style="306" customWidth="1"/>
    <col min="24" max="16384" width="9.140625" style="306"/>
  </cols>
  <sheetData>
    <row r="1" spans="1:14">
      <c r="A1" s="360" t="s">
        <v>7464</v>
      </c>
      <c r="H1" s="446" t="str">
        <f>'Sensitivity Analysis'!C8</f>
        <v>Westchester Village II</v>
      </c>
    </row>
    <row r="2" spans="1:14">
      <c r="A2" s="401" t="s">
        <v>7465</v>
      </c>
      <c r="H2" s="306" t="str">
        <f>'Sensitivity Analysis'!E8</f>
        <v>2026-0xx</v>
      </c>
    </row>
    <row r="3" spans="1:14" ht="3" customHeight="1"/>
    <row r="4" spans="1:14" ht="69.599999999999994" customHeight="1">
      <c r="A4" s="4983" t="s">
        <v>7466</v>
      </c>
      <c r="B4" s="4983"/>
      <c r="C4" s="4983"/>
      <c r="D4" s="4983"/>
      <c r="E4" s="4983"/>
      <c r="F4" s="4983"/>
      <c r="G4" s="4983"/>
      <c r="H4" s="4983"/>
      <c r="I4" s="4983"/>
      <c r="J4" s="4983"/>
      <c r="K4" s="4983"/>
      <c r="L4" s="4990">
        <f>SUM('Part VI-Pro Forma'!B15:B17)/12</f>
        <v>63766.789199999999</v>
      </c>
      <c r="M4" s="4990"/>
      <c r="N4" s="997" t="s">
        <v>7467</v>
      </c>
    </row>
    <row r="5" spans="1:14" ht="1.5" customHeight="1"/>
    <row r="6" spans="1:14" ht="12.75" customHeight="1">
      <c r="B6" s="465" t="s">
        <v>6477</v>
      </c>
      <c r="C6" s="447" t="s">
        <v>7468</v>
      </c>
      <c r="D6" s="447"/>
      <c r="E6" s="447"/>
      <c r="F6" s="447"/>
      <c r="G6" s="447"/>
      <c r="H6" s="447"/>
    </row>
    <row r="7" spans="1:14" ht="12.75" customHeight="1">
      <c r="B7" s="465" t="s">
        <v>6479</v>
      </c>
      <c r="C7" s="4983" t="s">
        <v>7469</v>
      </c>
      <c r="D7" s="4983"/>
      <c r="E7" s="4983"/>
      <c r="F7" s="4983"/>
      <c r="G7" s="4983"/>
      <c r="H7" s="4983"/>
      <c r="I7" s="4983"/>
      <c r="J7" s="4983"/>
      <c r="K7" s="4983"/>
      <c r="L7" s="4983"/>
      <c r="M7" s="4983"/>
    </row>
    <row r="8" spans="1:14" ht="3" customHeight="1"/>
    <row r="9" spans="1:14">
      <c r="A9" s="306" t="s">
        <v>7470</v>
      </c>
    </row>
    <row r="10" spans="1:14" ht="1.5" customHeight="1"/>
    <row r="11" spans="1:14" ht="26.25" customHeight="1">
      <c r="A11" s="466" t="s">
        <v>185</v>
      </c>
      <c r="B11" s="4983" t="s">
        <v>7471</v>
      </c>
      <c r="C11" s="4983"/>
      <c r="D11" s="4983"/>
      <c r="E11" s="4983"/>
      <c r="F11" s="4983"/>
      <c r="G11" s="4983"/>
      <c r="H11" s="4983"/>
      <c r="I11" s="4983"/>
      <c r="J11" s="4983"/>
      <c r="K11" s="4983"/>
      <c r="L11" s="4984">
        <f>'Part II-Sources of Funds'!I53+'Part II-Sources of Funds'!I54</f>
        <v>16332894</v>
      </c>
      <c r="M11" s="4984"/>
    </row>
    <row r="12" spans="1:14" ht="1.5" customHeight="1">
      <c r="G12" s="447"/>
      <c r="H12" s="447"/>
    </row>
    <row r="13" spans="1:14" ht="26.1" customHeight="1">
      <c r="A13" s="466" t="s">
        <v>197</v>
      </c>
      <c r="B13" s="4983" t="s">
        <v>7472</v>
      </c>
      <c r="C13" s="4983"/>
      <c r="D13" s="4983"/>
      <c r="E13" s="4983"/>
      <c r="F13" s="4983"/>
      <c r="G13" s="4983"/>
      <c r="H13" s="4983"/>
      <c r="I13" s="4983"/>
      <c r="J13" s="4983"/>
      <c r="K13" s="4983"/>
      <c r="L13" s="4985" t="s">
        <v>7390</v>
      </c>
      <c r="M13" s="4985"/>
    </row>
    <row r="14" spans="1:14">
      <c r="A14" s="466"/>
      <c r="B14" s="4949"/>
      <c r="C14" s="4949"/>
      <c r="D14" s="4949"/>
      <c r="E14" s="4949"/>
      <c r="F14" s="4949"/>
      <c r="G14" s="4949"/>
      <c r="H14" s="4949"/>
    </row>
    <row r="15" spans="1:14" ht="3" customHeight="1"/>
    <row r="16" spans="1:14">
      <c r="A16" s="466" t="s">
        <v>218</v>
      </c>
      <c r="B16" s="306" t="s">
        <v>7473</v>
      </c>
      <c r="L16" s="4986" t="s">
        <v>7474</v>
      </c>
      <c r="M16" s="4986"/>
    </row>
    <row r="17" spans="1:19" ht="1.5" customHeight="1">
      <c r="L17" s="450"/>
    </row>
    <row r="18" spans="1:19" ht="12" customHeight="1">
      <c r="A18" s="466" t="s">
        <v>220</v>
      </c>
      <c r="B18" s="447" t="s">
        <v>7475</v>
      </c>
      <c r="C18" s="466"/>
      <c r="D18" s="466"/>
      <c r="E18" s="466"/>
      <c r="L18" s="4949" t="s">
        <v>2103</v>
      </c>
      <c r="M18" s="4949"/>
    </row>
    <row r="19" spans="1:19" ht="12" hidden="1" customHeight="1">
      <c r="B19" s="4949"/>
      <c r="C19" s="4949"/>
      <c r="D19" s="4949"/>
      <c r="E19" s="4949"/>
      <c r="F19" s="4949"/>
      <c r="G19" s="4949"/>
      <c r="H19" s="4949"/>
    </row>
    <row r="20" spans="1:19" ht="13.5" customHeight="1"/>
    <row r="21" spans="1:19" ht="12" customHeight="1">
      <c r="A21" s="401" t="s">
        <v>7258</v>
      </c>
    </row>
    <row r="22" spans="1:19" ht="3" customHeight="1"/>
    <row r="23" spans="1:19" ht="42.6" customHeight="1">
      <c r="A23" s="4987" t="s">
        <v>7476</v>
      </c>
      <c r="B23" s="4987"/>
      <c r="C23" s="4987"/>
      <c r="D23" s="4987"/>
      <c r="E23" s="4987"/>
      <c r="F23" s="4987"/>
      <c r="G23" s="4987"/>
      <c r="H23" s="4987"/>
      <c r="I23" s="4987"/>
      <c r="J23" s="4987"/>
      <c r="K23" s="4987"/>
      <c r="L23" s="4987"/>
      <c r="M23" s="4987"/>
    </row>
    <row r="24" spans="1:19" ht="18" customHeight="1">
      <c r="E24" s="2632" t="s">
        <v>770</v>
      </c>
      <c r="F24" s="2632" t="s">
        <v>1213</v>
      </c>
      <c r="G24" s="2632" t="s">
        <v>1214</v>
      </c>
      <c r="H24" s="2632" t="s">
        <v>1215</v>
      </c>
      <c r="I24" s="2632" t="s">
        <v>1216</v>
      </c>
      <c r="J24" s="2632" t="s">
        <v>287</v>
      </c>
      <c r="K24" s="306"/>
      <c r="S24" s="306"/>
    </row>
    <row r="25" spans="1:19" ht="14.25" customHeight="1">
      <c r="C25" s="538" t="s">
        <v>1219</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1221</v>
      </c>
      <c r="D26" s="313"/>
      <c r="E26" s="1062">
        <f>'Part V-Revenues &amp; Expenses'!K66</f>
        <v>0</v>
      </c>
      <c r="F26" s="1063">
        <f>'Part V-Revenues &amp; Expenses'!L66</f>
        <v>2</v>
      </c>
      <c r="G26" s="1063">
        <f>'Part V-Revenues &amp; Expenses'!M66</f>
        <v>4</v>
      </c>
      <c r="H26" s="1063">
        <f>'Part V-Revenues &amp; Expenses'!N66</f>
        <v>0</v>
      </c>
      <c r="I26" s="1063">
        <f>'Part V-Revenues &amp; Expenses'!O66</f>
        <v>0</v>
      </c>
      <c r="J26" s="1727">
        <f>'Part V-Revenues &amp; Expenses'!P66</f>
        <v>6</v>
      </c>
      <c r="K26" s="306"/>
      <c r="S26" s="306"/>
    </row>
    <row r="27" spans="1:19" ht="15" customHeight="1">
      <c r="C27" s="538" t="s">
        <v>1222</v>
      </c>
      <c r="D27" s="313"/>
      <c r="E27" s="1062">
        <f>'Part V-Revenues &amp; Expenses'!K67</f>
        <v>0</v>
      </c>
      <c r="F27" s="1063">
        <f>'Part V-Revenues &amp; Expenses'!L67</f>
        <v>15</v>
      </c>
      <c r="G27" s="1063">
        <f>'Part V-Revenues &amp; Expenses'!M67</f>
        <v>21</v>
      </c>
      <c r="H27" s="1063">
        <f>'Part V-Revenues &amp; Expenses'!N67</f>
        <v>0</v>
      </c>
      <c r="I27" s="1063">
        <f>'Part V-Revenues &amp; Expenses'!O67</f>
        <v>0</v>
      </c>
      <c r="J27" s="1727">
        <f>'Part V-Revenues &amp; Expenses'!P67</f>
        <v>36</v>
      </c>
      <c r="K27" s="306"/>
      <c r="S27" s="306"/>
    </row>
    <row r="28" spans="1:19" ht="15" customHeight="1">
      <c r="C28" s="538" t="s">
        <v>1223</v>
      </c>
      <c r="D28" s="313"/>
      <c r="E28" s="1062">
        <f>'Part V-Revenues &amp; Expenses'!K68</f>
        <v>0</v>
      </c>
      <c r="F28" s="1063">
        <f>'Part V-Revenues &amp; Expenses'!L68</f>
        <v>7</v>
      </c>
      <c r="G28" s="1063">
        <f>'Part V-Revenues &amp; Expenses'!M68</f>
        <v>11</v>
      </c>
      <c r="H28" s="1063">
        <f>'Part V-Revenues &amp; Expenses'!N68</f>
        <v>0</v>
      </c>
      <c r="I28" s="1063">
        <f>'Part V-Revenues &amp; Expenses'!O68</f>
        <v>0</v>
      </c>
      <c r="J28" s="1727">
        <f>'Part V-Revenues &amp; Expenses'!P68</f>
        <v>18</v>
      </c>
      <c r="K28" s="306"/>
      <c r="S28" s="306"/>
    </row>
    <row r="29" spans="1:19" ht="13.35" customHeight="1">
      <c r="C29" s="538" t="s">
        <v>1224</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35" customHeight="1">
      <c r="C30" s="538" t="s">
        <v>1225</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35" customHeight="1">
      <c r="C31" s="538" t="s">
        <v>1226</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35" customHeight="1">
      <c r="C32" s="313" t="s">
        <v>287</v>
      </c>
      <c r="D32" s="313"/>
      <c r="E32" s="1728">
        <f>'Part V-Revenues &amp; Expenses'!K72</f>
        <v>0</v>
      </c>
      <c r="F32" s="1729">
        <f>'Part V-Revenues &amp; Expenses'!L72</f>
        <v>24</v>
      </c>
      <c r="G32" s="1729">
        <f>'Part V-Revenues &amp; Expenses'!M72</f>
        <v>36</v>
      </c>
      <c r="H32" s="1729">
        <f>'Part V-Revenues &amp; Expenses'!N72</f>
        <v>0</v>
      </c>
      <c r="I32" s="1729">
        <f>'Part V-Revenues &amp; Expenses'!O72</f>
        <v>0</v>
      </c>
      <c r="J32" s="1064">
        <f>'Part V-Revenues &amp; Expenses'!P72</f>
        <v>60</v>
      </c>
      <c r="K32" s="306"/>
      <c r="S32" s="306"/>
    </row>
    <row r="33" spans="1:12" s="306" customFormat="1" ht="13.35" customHeight="1" thickBot="1">
      <c r="K33" s="996"/>
    </row>
    <row r="34" spans="1:12" s="306" customFormat="1" ht="14.25" customHeight="1" thickBot="1">
      <c r="A34" s="996"/>
      <c r="B34" s="4997" t="s">
        <v>657</v>
      </c>
      <c r="E34" s="4998" t="s">
        <v>7502</v>
      </c>
      <c r="F34" s="4999"/>
      <c r="G34" s="4999"/>
      <c r="H34" s="4999"/>
      <c r="I34" s="4999"/>
      <c r="J34" s="4999"/>
      <c r="K34" s="4999"/>
      <c r="L34" s="5000"/>
    </row>
    <row r="35" spans="1:12" s="306" customFormat="1" ht="14.25" customHeight="1">
      <c r="A35" s="996"/>
      <c r="B35" s="4997"/>
      <c r="C35" s="5001" t="s">
        <v>7503</v>
      </c>
      <c r="D35" s="4997" t="s">
        <v>7504</v>
      </c>
      <c r="E35" s="5002" t="s">
        <v>7505</v>
      </c>
      <c r="F35" s="5003"/>
      <c r="G35" s="5006" t="s">
        <v>326</v>
      </c>
      <c r="H35" s="5008" t="s">
        <v>7506</v>
      </c>
      <c r="I35" s="5009"/>
      <c r="J35" s="5009"/>
      <c r="K35" s="5009"/>
      <c r="L35" s="5010"/>
    </row>
    <row r="36" spans="1:12" s="306" customFormat="1" ht="23.25" customHeight="1">
      <c r="A36" s="5001" t="s">
        <v>1212</v>
      </c>
      <c r="B36" s="4997"/>
      <c r="C36" s="5001"/>
      <c r="D36" s="4997"/>
      <c r="E36" s="5004"/>
      <c r="F36" s="5005"/>
      <c r="G36" s="5007"/>
      <c r="H36" s="5011" t="s">
        <v>7507</v>
      </c>
      <c r="I36" s="5012"/>
      <c r="J36" s="5015" t="s">
        <v>326</v>
      </c>
      <c r="K36" s="5012" t="s">
        <v>7508</v>
      </c>
      <c r="L36" s="5017"/>
    </row>
    <row r="37" spans="1:12" s="306" customFormat="1" ht="23.25" customHeight="1">
      <c r="A37" s="5001"/>
      <c r="B37" s="4997"/>
      <c r="C37" s="5001"/>
      <c r="D37" s="4997"/>
      <c r="E37" s="5004"/>
      <c r="F37" s="5005"/>
      <c r="G37" s="5007"/>
      <c r="H37" s="5011"/>
      <c r="I37" s="5012"/>
      <c r="J37" s="5016"/>
      <c r="K37" s="5012"/>
      <c r="L37" s="5017"/>
    </row>
    <row r="38" spans="1:12" s="306" customFormat="1" ht="23.25" customHeight="1">
      <c r="A38" s="4997"/>
      <c r="B38" s="4997"/>
      <c r="C38" s="4997"/>
      <c r="D38" s="4997"/>
      <c r="E38" s="5004"/>
      <c r="F38" s="5005"/>
      <c r="G38" s="5007"/>
      <c r="H38" s="5013"/>
      <c r="I38" s="5014"/>
      <c r="J38" s="5016"/>
      <c r="K38" s="5014"/>
      <c r="L38" s="5018"/>
    </row>
    <row r="39" spans="1:12" s="306" customFormat="1" ht="13.35" customHeight="1">
      <c r="A39" s="3009">
        <f>'Part V-Revenues &amp; Expenses'!B18</f>
        <v>50</v>
      </c>
      <c r="B39" s="1052">
        <f>'Part V-Revenues &amp; Expenses'!E18</f>
        <v>7</v>
      </c>
      <c r="C39" s="1053" t="str">
        <f>_xlfn.CONCAT('Part V-Revenues &amp; Expenses'!C18," / ",'Part V-Revenues &amp; Expenses'!D18)</f>
        <v>1 / 1</v>
      </c>
      <c r="D39" s="1052">
        <f>'Part V-Revenues &amp; Expenses'!F18</f>
        <v>700</v>
      </c>
      <c r="E39" s="4995">
        <f>'Part V-Revenues &amp; Expenses'!H18</f>
        <v>1071</v>
      </c>
      <c r="F39" s="4996"/>
      <c r="G39" s="313"/>
      <c r="H39" s="5022"/>
      <c r="I39" s="5023"/>
      <c r="J39" s="5023"/>
      <c r="K39" s="5023"/>
      <c r="L39" s="5024"/>
    </row>
    <row r="40" spans="1:12" s="306" customFormat="1" ht="13.35" customHeight="1">
      <c r="A40" s="1054">
        <f>'Part V-Revenues &amp; Expenses'!B19</f>
        <v>50</v>
      </c>
      <c r="B40" s="1055">
        <f>'Part V-Revenues &amp; Expenses'!E19</f>
        <v>11</v>
      </c>
      <c r="C40" s="1056" t="str">
        <f>_xlfn.CONCAT('Part V-Revenues &amp; Expenses'!C19," / ",'Part V-Revenues &amp; Expenses'!D19)</f>
        <v>2 / 1</v>
      </c>
      <c r="D40" s="1055">
        <f>'Part V-Revenues &amp; Expenses'!F19</f>
        <v>956</v>
      </c>
      <c r="E40" s="4993">
        <f>'Part V-Revenues &amp; Expenses'!H19</f>
        <v>1285</v>
      </c>
      <c r="F40" s="4994"/>
      <c r="G40" s="313"/>
      <c r="H40" s="5019"/>
      <c r="I40" s="5020"/>
      <c r="J40" s="5020"/>
      <c r="K40" s="5020"/>
      <c r="L40" s="5021"/>
    </row>
    <row r="41" spans="1:12" s="306" customFormat="1" ht="13.35" customHeight="1">
      <c r="A41" s="1054">
        <f>'Part V-Revenues &amp; Expenses'!B20</f>
        <v>60</v>
      </c>
      <c r="B41" s="1055">
        <f>'Part V-Revenues &amp; Expenses'!E20</f>
        <v>15</v>
      </c>
      <c r="C41" s="1056" t="str">
        <f>_xlfn.CONCAT('Part V-Revenues &amp; Expenses'!C20," / ",'Part V-Revenues &amp; Expenses'!D20)</f>
        <v>1 / 1</v>
      </c>
      <c r="D41" s="1055">
        <f>'Part V-Revenues &amp; Expenses'!F20</f>
        <v>700</v>
      </c>
      <c r="E41" s="4993">
        <f>'Part V-Revenues &amp; Expenses'!H20</f>
        <v>1278</v>
      </c>
      <c r="F41" s="4994"/>
      <c r="G41" s="313"/>
      <c r="H41" s="5019"/>
      <c r="I41" s="5020"/>
      <c r="J41" s="5020"/>
      <c r="K41" s="5020"/>
      <c r="L41" s="5021"/>
    </row>
    <row r="42" spans="1:12" s="306" customFormat="1" ht="13.35" customHeight="1">
      <c r="A42" s="1054">
        <f>'Part V-Revenues &amp; Expenses'!B21</f>
        <v>60</v>
      </c>
      <c r="B42" s="1055">
        <f>'Part V-Revenues &amp; Expenses'!E21</f>
        <v>21</v>
      </c>
      <c r="C42" s="1056" t="str">
        <f>_xlfn.CONCAT('Part V-Revenues &amp; Expenses'!C21," / ",'Part V-Revenues &amp; Expenses'!D21)</f>
        <v>2 / 1</v>
      </c>
      <c r="D42" s="1055">
        <f>'Part V-Revenues &amp; Expenses'!F21</f>
        <v>956</v>
      </c>
      <c r="E42" s="4993">
        <f>'Part V-Revenues &amp; Expenses'!H21</f>
        <v>1424</v>
      </c>
      <c r="F42" s="4994"/>
      <c r="G42" s="313"/>
      <c r="H42" s="5019"/>
      <c r="I42" s="5020"/>
      <c r="J42" s="5020"/>
      <c r="K42" s="5020"/>
      <c r="L42" s="5021"/>
    </row>
    <row r="43" spans="1:12" s="306" customFormat="1" ht="13.35" customHeight="1">
      <c r="A43" s="1054">
        <f>'Part V-Revenues &amp; Expenses'!B22</f>
        <v>70</v>
      </c>
      <c r="B43" s="1055">
        <f>'Part V-Revenues &amp; Expenses'!E22</f>
        <v>2</v>
      </c>
      <c r="C43" s="1056" t="str">
        <f>_xlfn.CONCAT('Part V-Revenues &amp; Expenses'!C22," / ",'Part V-Revenues &amp; Expenses'!D22)</f>
        <v>1 / 1</v>
      </c>
      <c r="D43" s="1055">
        <f>'Part V-Revenues &amp; Expenses'!F22</f>
        <v>700</v>
      </c>
      <c r="E43" s="4993">
        <f>'Part V-Revenues &amp; Expenses'!H22</f>
        <v>1378</v>
      </c>
      <c r="F43" s="4994"/>
      <c r="G43" s="313"/>
      <c r="H43" s="5019"/>
      <c r="I43" s="5020"/>
      <c r="J43" s="5020"/>
      <c r="K43" s="5020"/>
      <c r="L43" s="5021"/>
    </row>
    <row r="44" spans="1:12" s="306" customFormat="1" ht="13.35" customHeight="1">
      <c r="A44" s="1054">
        <f>'Part V-Revenues &amp; Expenses'!B23</f>
        <v>70</v>
      </c>
      <c r="B44" s="1055">
        <f>'Part V-Revenues &amp; Expenses'!E23</f>
        <v>4</v>
      </c>
      <c r="C44" s="1056" t="str">
        <f>_xlfn.CONCAT('Part V-Revenues &amp; Expenses'!C23," / ",'Part V-Revenues &amp; Expenses'!D23)</f>
        <v>2 / 1</v>
      </c>
      <c r="D44" s="1055">
        <f>'Part V-Revenues &amp; Expenses'!F23</f>
        <v>956</v>
      </c>
      <c r="E44" s="4993">
        <f>'Part V-Revenues &amp; Expenses'!H23</f>
        <v>1524</v>
      </c>
      <c r="F44" s="4994"/>
      <c r="G44" s="313"/>
      <c r="H44" s="5019"/>
      <c r="I44" s="5020"/>
      <c r="J44" s="5020"/>
      <c r="K44" s="5020"/>
      <c r="L44" s="5021"/>
    </row>
    <row r="45" spans="1:12" s="306" customFormat="1" ht="13.35" customHeight="1">
      <c r="A45" s="1054">
        <f>'Part V-Revenues &amp; Expenses'!B24</f>
        <v>0</v>
      </c>
      <c r="B45" s="1055">
        <f>'Part V-Revenues &amp; Expenses'!E24</f>
        <v>0</v>
      </c>
      <c r="C45" s="1056" t="str">
        <f>_xlfn.CONCAT('Part V-Revenues &amp; Expenses'!C24," / ",'Part V-Revenues &amp; Expenses'!D24)</f>
        <v xml:space="preserve"> / </v>
      </c>
      <c r="D45" s="1055">
        <f>'Part V-Revenues &amp; Expenses'!F24</f>
        <v>0</v>
      </c>
      <c r="E45" s="4993">
        <f>'Part V-Revenues &amp; Expenses'!H24</f>
        <v>0</v>
      </c>
      <c r="F45" s="4994"/>
      <c r="G45" s="313"/>
      <c r="H45" s="5019"/>
      <c r="I45" s="5020"/>
      <c r="J45" s="5020"/>
      <c r="K45" s="5020"/>
      <c r="L45" s="5021"/>
    </row>
    <row r="46" spans="1:12" s="306" customFormat="1" ht="13.35" customHeight="1">
      <c r="A46" s="1054">
        <f>'Part V-Revenues &amp; Expenses'!B25</f>
        <v>0</v>
      </c>
      <c r="B46" s="1055">
        <f>'Part V-Revenues &amp; Expenses'!E25</f>
        <v>0</v>
      </c>
      <c r="C46" s="1056" t="str">
        <f>_xlfn.CONCAT('Part V-Revenues &amp; Expenses'!C25," / ",'Part V-Revenues &amp; Expenses'!D25)</f>
        <v xml:space="preserve"> / </v>
      </c>
      <c r="D46" s="1055">
        <f>'Part V-Revenues &amp; Expenses'!F25</f>
        <v>0</v>
      </c>
      <c r="E46" s="4993">
        <f>'Part V-Revenues &amp; Expenses'!H25</f>
        <v>0</v>
      </c>
      <c r="F46" s="4994"/>
      <c r="G46" s="313"/>
      <c r="H46" s="5019"/>
      <c r="I46" s="5020"/>
      <c r="J46" s="5020"/>
      <c r="K46" s="5020"/>
      <c r="L46" s="5021"/>
    </row>
    <row r="47" spans="1:12" s="306" customFormat="1" ht="13.35" customHeight="1">
      <c r="A47" s="1054">
        <f>'Part V-Revenues &amp; Expenses'!B26</f>
        <v>0</v>
      </c>
      <c r="B47" s="1055">
        <f>'Part V-Revenues &amp; Expenses'!E26</f>
        <v>0</v>
      </c>
      <c r="C47" s="1056" t="str">
        <f>_xlfn.CONCAT('Part V-Revenues &amp; Expenses'!C26," / ",'Part V-Revenues &amp; Expenses'!D26)</f>
        <v xml:space="preserve"> / </v>
      </c>
      <c r="D47" s="1055">
        <f>'Part V-Revenues &amp; Expenses'!F26</f>
        <v>0</v>
      </c>
      <c r="E47" s="4993">
        <f>'Part V-Revenues &amp; Expenses'!H26</f>
        <v>0</v>
      </c>
      <c r="F47" s="4994"/>
      <c r="G47" s="313"/>
      <c r="H47" s="5019"/>
      <c r="I47" s="5020"/>
      <c r="J47" s="5020"/>
      <c r="K47" s="5020"/>
      <c r="L47" s="5021"/>
    </row>
    <row r="48" spans="1:12" s="306" customFormat="1" ht="13.35" customHeight="1">
      <c r="A48" s="1054">
        <f>'Part V-Revenues &amp; Expenses'!B27</f>
        <v>0</v>
      </c>
      <c r="B48" s="1055">
        <f>'Part V-Revenues &amp; Expenses'!E27</f>
        <v>0</v>
      </c>
      <c r="C48" s="1056" t="str">
        <f>_xlfn.CONCAT('Part V-Revenues &amp; Expenses'!C27," / ",'Part V-Revenues &amp; Expenses'!D27)</f>
        <v xml:space="preserve"> / </v>
      </c>
      <c r="D48" s="1055">
        <f>'Part V-Revenues &amp; Expenses'!F27</f>
        <v>0</v>
      </c>
      <c r="E48" s="4993">
        <f>'Part V-Revenues &amp; Expenses'!H27</f>
        <v>0</v>
      </c>
      <c r="F48" s="4994"/>
      <c r="G48" s="313"/>
      <c r="H48" s="5019"/>
      <c r="I48" s="5020"/>
      <c r="J48" s="5020"/>
      <c r="K48" s="5020"/>
      <c r="L48" s="5021"/>
    </row>
    <row r="49" spans="1:13" s="306" customFormat="1" ht="13.35" customHeight="1">
      <c r="A49" s="1054">
        <f>'Part V-Revenues &amp; Expenses'!B28</f>
        <v>0</v>
      </c>
      <c r="B49" s="1055">
        <f>'Part V-Revenues &amp; Expenses'!E28</f>
        <v>0</v>
      </c>
      <c r="C49" s="1056" t="str">
        <f>_xlfn.CONCAT('Part V-Revenues &amp; Expenses'!C28," / ",'Part V-Revenues &amp; Expenses'!D28)</f>
        <v xml:space="preserve"> / </v>
      </c>
      <c r="D49" s="1055">
        <f>'Part V-Revenues &amp; Expenses'!F28</f>
        <v>0</v>
      </c>
      <c r="E49" s="4993">
        <f>'Part V-Revenues &amp; Expenses'!H28</f>
        <v>0</v>
      </c>
      <c r="F49" s="4994"/>
      <c r="G49" s="313"/>
      <c r="H49" s="5019"/>
      <c r="I49" s="5020"/>
      <c r="J49" s="5020"/>
      <c r="K49" s="5020"/>
      <c r="L49" s="5021"/>
    </row>
    <row r="50" spans="1:13" s="306" customFormat="1" ht="13.35"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3">
        <f>'Part V-Revenues &amp; Expenses'!H29</f>
        <v>0</v>
      </c>
      <c r="F50" s="4994"/>
      <c r="G50" s="313"/>
      <c r="H50" s="5019"/>
      <c r="I50" s="5020"/>
      <c r="J50" s="5020"/>
      <c r="K50" s="5020"/>
      <c r="L50" s="5021"/>
    </row>
    <row r="51" spans="1:13" s="306" customFormat="1" ht="13.35"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3">
        <f>'Part V-Revenues &amp; Expenses'!H30</f>
        <v>0</v>
      </c>
      <c r="F51" s="4994"/>
      <c r="G51" s="313"/>
      <c r="H51" s="5019"/>
      <c r="I51" s="5020"/>
      <c r="J51" s="5020"/>
      <c r="K51" s="5020"/>
      <c r="L51" s="5021"/>
    </row>
    <row r="52" spans="1:13" s="306" customFormat="1" ht="13.35"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3">
        <f>'Part V-Revenues &amp; Expenses'!H31</f>
        <v>0</v>
      </c>
      <c r="F52" s="4994"/>
      <c r="G52" s="313"/>
      <c r="H52" s="5019"/>
      <c r="I52" s="5020"/>
      <c r="J52" s="5020"/>
      <c r="K52" s="5020"/>
      <c r="L52" s="5021"/>
    </row>
    <row r="53" spans="1:13" s="306" customFormat="1" ht="13.35"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3">
        <f>'Part V-Revenues &amp; Expenses'!H32</f>
        <v>0</v>
      </c>
      <c r="F53" s="4994"/>
      <c r="G53" s="313"/>
      <c r="H53" s="5019"/>
      <c r="I53" s="5020"/>
      <c r="J53" s="5020"/>
      <c r="K53" s="5020"/>
      <c r="L53" s="5021"/>
    </row>
    <row r="54" spans="1:13" s="306" customFormat="1" ht="13.35"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3">
        <f>'Part V-Revenues &amp; Expenses'!H33</f>
        <v>0</v>
      </c>
      <c r="F54" s="4994"/>
      <c r="G54" s="313"/>
      <c r="H54" s="5019"/>
      <c r="I54" s="5020"/>
      <c r="J54" s="5020"/>
      <c r="K54" s="5020"/>
      <c r="L54" s="5021"/>
    </row>
    <row r="55" spans="1:13" s="306" customFormat="1" ht="13.35"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3">
        <f>'Part V-Revenues &amp; Expenses'!H34</f>
        <v>0</v>
      </c>
      <c r="F55" s="4994"/>
      <c r="G55" s="313"/>
      <c r="H55" s="5019"/>
      <c r="I55" s="5020"/>
      <c r="J55" s="5020"/>
      <c r="K55" s="5020"/>
      <c r="L55" s="5021"/>
    </row>
    <row r="56" spans="1:13" s="306" customFormat="1" ht="13.35"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3">
        <f>'Part V-Revenues &amp; Expenses'!H35</f>
        <v>0</v>
      </c>
      <c r="F56" s="4994"/>
      <c r="G56" s="313"/>
      <c r="H56" s="5019"/>
      <c r="I56" s="5020"/>
      <c r="J56" s="5020"/>
      <c r="K56" s="5020"/>
      <c r="L56" s="5021"/>
    </row>
    <row r="57" spans="1:13" s="306" customFormat="1" ht="13.35"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3">
        <f>'Part V-Revenues &amp; Expenses'!H36</f>
        <v>0</v>
      </c>
      <c r="F57" s="4994"/>
      <c r="G57" s="313"/>
      <c r="H57" s="5019"/>
      <c r="I57" s="5020"/>
      <c r="J57" s="5020"/>
      <c r="K57" s="5020"/>
      <c r="L57" s="5021"/>
    </row>
    <row r="58" spans="1:13" s="306" customFormat="1" ht="13.35"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3">
        <f>'Part V-Revenues &amp; Expenses'!H37</f>
        <v>0</v>
      </c>
      <c r="F58" s="4994"/>
      <c r="G58" s="313"/>
      <c r="H58" s="5019"/>
      <c r="I58" s="5020"/>
      <c r="J58" s="5020"/>
      <c r="K58" s="5020"/>
      <c r="L58" s="5021"/>
    </row>
    <row r="59" spans="1:13" s="306" customFormat="1" ht="13.35"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3">
        <f>'Part V-Revenues &amp; Expenses'!H38</f>
        <v>0</v>
      </c>
      <c r="F59" s="4994"/>
      <c r="G59" s="313"/>
      <c r="H59" s="5019"/>
      <c r="I59" s="5020"/>
      <c r="J59" s="5020"/>
      <c r="K59" s="5020"/>
      <c r="L59" s="5021"/>
    </row>
    <row r="60" spans="1:13" s="306" customFormat="1" ht="13.35"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3">
        <f>'Part V-Revenues &amp; Expenses'!H39</f>
        <v>0</v>
      </c>
      <c r="F60" s="4994"/>
      <c r="G60" s="313"/>
      <c r="H60" s="5019"/>
      <c r="I60" s="5020"/>
      <c r="J60" s="5020"/>
      <c r="K60" s="5020"/>
      <c r="L60" s="5021"/>
      <c r="M60" s="2632"/>
    </row>
    <row r="61" spans="1:13" s="306" customFormat="1" ht="13.35"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3">
        <f>'Part V-Revenues &amp; Expenses'!H40</f>
        <v>0</v>
      </c>
      <c r="F61" s="4994"/>
      <c r="G61" s="313"/>
      <c r="H61" s="5019"/>
      <c r="I61" s="5020"/>
      <c r="J61" s="5020"/>
      <c r="K61" s="5020"/>
      <c r="L61" s="5021"/>
      <c r="M61" s="2632"/>
    </row>
    <row r="62" spans="1:13" s="306" customFormat="1" ht="13.35"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3">
        <f>'Part V-Revenues &amp; Expenses'!H41</f>
        <v>0</v>
      </c>
      <c r="F62" s="4994"/>
      <c r="G62" s="313"/>
      <c r="H62" s="5019"/>
      <c r="I62" s="5020"/>
      <c r="J62" s="5020"/>
      <c r="K62" s="5020"/>
      <c r="L62" s="5021"/>
      <c r="M62" s="2632"/>
    </row>
    <row r="63" spans="1:13" s="306" customFormat="1" ht="13.35"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3">
        <f>'Part V-Revenues &amp; Expenses'!H42</f>
        <v>0</v>
      </c>
      <c r="F63" s="4994"/>
      <c r="G63" s="313"/>
      <c r="H63" s="5019"/>
      <c r="I63" s="5020"/>
      <c r="J63" s="5020"/>
      <c r="K63" s="5020"/>
      <c r="L63" s="5021"/>
      <c r="M63" s="2632"/>
    </row>
    <row r="64" spans="1:13" s="306" customFormat="1" ht="13.35"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3">
        <f>'Part V-Revenues &amp; Expenses'!H43</f>
        <v>0</v>
      </c>
      <c r="F64" s="4994"/>
      <c r="G64" s="313"/>
      <c r="H64" s="5019"/>
      <c r="I64" s="5020"/>
      <c r="J64" s="5020"/>
      <c r="K64" s="5020"/>
      <c r="L64" s="5021"/>
      <c r="M64" s="2632"/>
    </row>
    <row r="65" spans="1:19" ht="13.35"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3">
        <f>'Part V-Revenues &amp; Expenses'!H44</f>
        <v>0</v>
      </c>
      <c r="F65" s="4994"/>
      <c r="G65" s="313"/>
      <c r="H65" s="5019"/>
      <c r="I65" s="5020"/>
      <c r="J65" s="5020"/>
      <c r="K65" s="5020"/>
      <c r="L65" s="5021"/>
      <c r="M65" s="2632"/>
      <c r="S65" s="306"/>
    </row>
    <row r="66" spans="1:19" ht="13.35"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3">
        <f>'Part V-Revenues &amp; Expenses'!H45</f>
        <v>0</v>
      </c>
      <c r="F66" s="4994"/>
      <c r="G66" s="313"/>
      <c r="H66" s="5019"/>
      <c r="I66" s="5020"/>
      <c r="J66" s="5020"/>
      <c r="K66" s="5020"/>
      <c r="L66" s="5021"/>
      <c r="M66" s="2632"/>
      <c r="S66" s="306"/>
    </row>
    <row r="67" spans="1:19" ht="13.35"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3">
        <f>'Part V-Revenues &amp; Expenses'!H46</f>
        <v>0</v>
      </c>
      <c r="F67" s="4994"/>
      <c r="G67" s="313"/>
      <c r="H67" s="5019"/>
      <c r="I67" s="5020"/>
      <c r="J67" s="5020"/>
      <c r="K67" s="5020"/>
      <c r="L67" s="5021"/>
      <c r="M67" s="2632"/>
      <c r="S67" s="306"/>
    </row>
    <row r="68" spans="1:19" ht="13.35"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3">
        <f>'Part V-Revenues &amp; Expenses'!H47</f>
        <v>0</v>
      </c>
      <c r="F68" s="4994"/>
      <c r="G68" s="313"/>
      <c r="H68" s="5019"/>
      <c r="I68" s="5020"/>
      <c r="J68" s="5020"/>
      <c r="K68" s="5020"/>
      <c r="L68" s="5021"/>
      <c r="M68" s="2632"/>
      <c r="S68" s="306"/>
    </row>
    <row r="69" spans="1:19" ht="13.35"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4991">
        <f>'Part V-Revenues &amp; Expenses'!H57</f>
        <v>0</v>
      </c>
      <c r="F69" s="4992"/>
      <c r="G69" s="1060"/>
      <c r="H69" s="5025"/>
      <c r="I69" s="5026"/>
      <c r="J69" s="5026"/>
      <c r="K69" s="5026"/>
      <c r="L69" s="5027"/>
      <c r="M69" s="2632"/>
      <c r="S69" s="306"/>
    </row>
    <row r="70" spans="1:19" ht="13.35" customHeight="1">
      <c r="C70" s="996"/>
      <c r="F70" s="2632"/>
      <c r="G70" s="2632"/>
      <c r="H70" s="2632"/>
      <c r="I70" s="2632"/>
      <c r="J70" s="2632"/>
      <c r="K70" s="995"/>
      <c r="L70" s="2632"/>
      <c r="M70" s="2632"/>
      <c r="S70" s="306"/>
    </row>
    <row r="71" spans="1:19" ht="13.35" customHeight="1">
      <c r="C71" s="996"/>
      <c r="F71" s="2632"/>
      <c r="G71" s="2632"/>
      <c r="H71" s="2632"/>
      <c r="I71" s="2632"/>
      <c r="J71" s="2632"/>
      <c r="K71" s="995"/>
      <c r="L71" s="2632"/>
      <c r="M71" s="2632"/>
      <c r="S71" s="306"/>
    </row>
    <row r="72" spans="1:19" ht="13.35" customHeight="1">
      <c r="C72" s="996"/>
      <c r="F72" s="2632"/>
      <c r="G72" s="2632"/>
      <c r="H72" s="2632"/>
      <c r="I72" s="2632"/>
      <c r="J72" s="2632"/>
      <c r="K72" s="995"/>
      <c r="L72" s="2632"/>
      <c r="M72" s="2632"/>
      <c r="S72" s="306"/>
    </row>
    <row r="73" spans="1:19" ht="13.35" customHeight="1">
      <c r="C73" s="996"/>
      <c r="F73" s="2632"/>
      <c r="G73" s="2632"/>
      <c r="H73" s="2632"/>
      <c r="I73" s="2632"/>
      <c r="J73" s="2632"/>
      <c r="K73" s="995"/>
      <c r="L73" s="2632"/>
      <c r="M73" s="2632"/>
      <c r="S73" s="306"/>
    </row>
    <row r="74" spans="1:19" ht="13.35" customHeight="1">
      <c r="C74" s="996"/>
      <c r="F74" s="2632"/>
      <c r="G74" s="2632"/>
      <c r="H74" s="2632"/>
      <c r="I74" s="2632"/>
      <c r="J74" s="2632"/>
      <c r="K74" s="995"/>
      <c r="L74" s="2632"/>
      <c r="M74" s="2632"/>
      <c r="S74" s="306"/>
    </row>
    <row r="75" spans="1:19" ht="13.35" customHeight="1">
      <c r="C75" s="996"/>
      <c r="F75" s="2632"/>
      <c r="G75" s="2632"/>
      <c r="H75" s="2632"/>
      <c r="I75" s="2632"/>
      <c r="J75" s="2632"/>
      <c r="K75" s="995"/>
      <c r="L75" s="2632"/>
      <c r="M75" s="2632"/>
      <c r="S75" s="306"/>
    </row>
    <row r="76" spans="1:19" ht="13.35" customHeight="1">
      <c r="C76" s="996"/>
      <c r="F76" s="2632"/>
      <c r="G76" s="2632"/>
      <c r="H76" s="2632"/>
      <c r="I76" s="2632"/>
      <c r="J76" s="2632"/>
      <c r="K76" s="995"/>
      <c r="L76" s="2632"/>
      <c r="M76" s="2632"/>
      <c r="S76" s="306"/>
    </row>
    <row r="77" spans="1:19" ht="13.35" customHeight="1">
      <c r="C77" s="996"/>
      <c r="F77" s="2632"/>
      <c r="G77" s="2632"/>
      <c r="H77" s="2632"/>
      <c r="I77" s="2632"/>
      <c r="J77" s="2632"/>
      <c r="K77" s="995"/>
      <c r="L77" s="2632"/>
      <c r="M77" s="2632"/>
      <c r="S77" s="306"/>
    </row>
    <row r="78" spans="1:19" ht="13.35" customHeight="1">
      <c r="C78" s="996"/>
      <c r="F78" s="2632"/>
      <c r="G78" s="2632"/>
      <c r="H78" s="2632"/>
      <c r="I78" s="2632"/>
      <c r="J78" s="2632"/>
      <c r="K78" s="995"/>
      <c r="L78" s="2632"/>
      <c r="M78" s="2632"/>
      <c r="S78" s="306"/>
    </row>
    <row r="79" spans="1:19" ht="13.35" customHeight="1">
      <c r="C79" s="996"/>
      <c r="F79" s="2632"/>
      <c r="G79" s="2632"/>
      <c r="H79" s="2632"/>
      <c r="I79" s="2632"/>
      <c r="J79" s="2632"/>
      <c r="K79" s="995"/>
      <c r="L79" s="2632"/>
      <c r="M79" s="2632"/>
      <c r="S79" s="306"/>
    </row>
    <row r="80" spans="1:19" ht="13.35" customHeight="1">
      <c r="C80" s="996"/>
      <c r="F80" s="2632"/>
      <c r="G80" s="2632"/>
      <c r="H80" s="2632"/>
      <c r="I80" s="2632"/>
      <c r="J80" s="2632"/>
      <c r="K80" s="995"/>
      <c r="L80" s="2632"/>
      <c r="M80" s="2632"/>
      <c r="S80" s="306"/>
    </row>
    <row r="81" spans="3:19" ht="13.35" customHeight="1">
      <c r="C81" s="996"/>
      <c r="F81" s="2632"/>
      <c r="G81" s="2632"/>
      <c r="H81" s="2632"/>
      <c r="I81" s="2632"/>
      <c r="J81" s="2632"/>
      <c r="K81" s="995"/>
      <c r="L81" s="2632"/>
      <c r="M81" s="2632"/>
      <c r="S81" s="306"/>
    </row>
    <row r="82" spans="3:19" ht="13.35" customHeight="1">
      <c r="C82" s="996"/>
      <c r="F82" s="2632"/>
      <c r="G82" s="2632"/>
      <c r="H82" s="2632"/>
      <c r="I82" s="2632"/>
      <c r="J82" s="2632"/>
      <c r="K82" s="995"/>
      <c r="L82" s="2632"/>
      <c r="M82" s="2632"/>
      <c r="S82" s="306"/>
    </row>
    <row r="83" spans="3:19" ht="13.35" customHeight="1">
      <c r="C83" s="996"/>
      <c r="F83" s="2632"/>
      <c r="G83" s="2632"/>
      <c r="H83" s="2632"/>
      <c r="I83" s="2632"/>
      <c r="J83" s="2632"/>
      <c r="K83" s="995"/>
      <c r="L83" s="2632"/>
      <c r="M83" s="2632"/>
      <c r="S83" s="306"/>
    </row>
    <row r="84" spans="3:19" ht="13.35" customHeight="1">
      <c r="C84" s="996"/>
      <c r="F84" s="2632"/>
      <c r="G84" s="2632"/>
      <c r="H84" s="2632"/>
      <c r="I84" s="2632"/>
      <c r="J84" s="2632"/>
      <c r="K84" s="995"/>
      <c r="L84" s="2632"/>
      <c r="M84" s="2632"/>
      <c r="S84" s="306"/>
    </row>
    <row r="85" spans="3:19" ht="13.35" customHeight="1">
      <c r="C85" s="996"/>
      <c r="F85" s="2632"/>
      <c r="G85" s="2632"/>
      <c r="H85" s="2632"/>
      <c r="I85" s="2632"/>
      <c r="J85" s="2632"/>
      <c r="K85" s="995"/>
      <c r="L85" s="2632"/>
      <c r="M85" s="2632"/>
      <c r="S85" s="306"/>
    </row>
    <row r="86" spans="3:19" ht="13.35" customHeight="1">
      <c r="C86" s="996"/>
      <c r="F86" s="2632"/>
      <c r="G86" s="2632"/>
      <c r="H86" s="2632"/>
      <c r="I86" s="2632"/>
      <c r="J86" s="2632"/>
      <c r="K86" s="995"/>
      <c r="L86" s="2632"/>
      <c r="M86" s="2632"/>
      <c r="S86" s="306"/>
    </row>
    <row r="87" spans="3:19" ht="13.35" customHeight="1">
      <c r="C87" s="996"/>
      <c r="F87" s="2632"/>
      <c r="G87" s="2632"/>
      <c r="H87" s="2632"/>
      <c r="I87" s="2632"/>
      <c r="J87" s="2632"/>
      <c r="K87" s="995"/>
      <c r="L87" s="2632"/>
      <c r="M87" s="2632"/>
      <c r="S87" s="306"/>
    </row>
    <row r="88" spans="3:19" ht="13.35" customHeight="1">
      <c r="C88" s="996"/>
      <c r="F88" s="2632"/>
      <c r="G88" s="2632"/>
      <c r="H88" s="2632"/>
      <c r="I88" s="2632"/>
      <c r="J88" s="2632"/>
      <c r="K88" s="995"/>
      <c r="L88" s="2632"/>
      <c r="M88" s="2632"/>
      <c r="S88" s="306"/>
    </row>
    <row r="89" spans="3:19" ht="13.35" customHeight="1">
      <c r="C89" s="996"/>
      <c r="F89" s="2632"/>
      <c r="G89" s="2632"/>
      <c r="H89" s="2632"/>
      <c r="I89" s="2632"/>
      <c r="J89" s="2632"/>
      <c r="K89" s="995"/>
      <c r="L89" s="2632"/>
      <c r="M89" s="2632"/>
      <c r="S89" s="306"/>
    </row>
    <row r="90" spans="3:19" ht="13.35" customHeight="1">
      <c r="C90" s="996"/>
      <c r="F90" s="2632"/>
      <c r="G90" s="2632"/>
      <c r="H90" s="2632"/>
      <c r="I90" s="2632"/>
      <c r="J90" s="2632"/>
      <c r="K90" s="995"/>
      <c r="L90" s="2632"/>
      <c r="M90" s="2632"/>
      <c r="S90" s="306"/>
    </row>
    <row r="91" spans="3:19" ht="13.35" customHeight="1">
      <c r="C91" s="996"/>
      <c r="F91" s="2632"/>
      <c r="G91" s="2632"/>
      <c r="H91" s="2632"/>
      <c r="I91" s="2632"/>
      <c r="J91" s="2632"/>
      <c r="K91" s="995"/>
      <c r="L91" s="2632"/>
      <c r="M91" s="2632"/>
      <c r="S91" s="306"/>
    </row>
    <row r="92" spans="3:19" ht="13.35" customHeight="1">
      <c r="C92" s="996"/>
      <c r="F92" s="2632"/>
      <c r="G92" s="2632"/>
      <c r="H92" s="2632"/>
      <c r="I92" s="2632"/>
      <c r="J92" s="2632"/>
      <c r="K92" s="995"/>
      <c r="L92" s="2632"/>
      <c r="M92" s="2632"/>
      <c r="S92" s="306"/>
    </row>
    <row r="93" spans="3:19" ht="13.35" customHeight="1">
      <c r="C93" s="996"/>
      <c r="F93" s="2632"/>
      <c r="G93" s="2632"/>
      <c r="H93" s="2632"/>
      <c r="I93" s="2632"/>
      <c r="J93" s="2632"/>
      <c r="K93" s="995"/>
      <c r="L93" s="2632"/>
      <c r="M93" s="2632"/>
      <c r="S93" s="306"/>
    </row>
    <row r="94" spans="3:19" ht="13.35" customHeight="1">
      <c r="C94" s="996"/>
      <c r="F94" s="2632"/>
      <c r="G94" s="2632"/>
      <c r="H94" s="2632"/>
      <c r="I94" s="2632"/>
      <c r="J94" s="2632"/>
      <c r="K94" s="995"/>
      <c r="L94" s="2632"/>
      <c r="M94" s="2632"/>
      <c r="S94" s="306"/>
    </row>
    <row r="95" spans="3:19" ht="13.35" customHeight="1">
      <c r="C95" s="996"/>
      <c r="F95" s="2632"/>
      <c r="G95" s="2632"/>
      <c r="H95" s="2632"/>
      <c r="I95" s="2632"/>
      <c r="J95" s="2632"/>
      <c r="K95" s="995"/>
      <c r="L95" s="2632"/>
      <c r="M95" s="2632"/>
      <c r="S95" s="306"/>
    </row>
    <row r="96" spans="3:19" ht="13.35" customHeight="1">
      <c r="C96" s="996"/>
      <c r="F96" s="2632"/>
      <c r="G96" s="2632"/>
      <c r="H96" s="2632"/>
      <c r="I96" s="2632"/>
      <c r="J96" s="2632"/>
      <c r="K96" s="995"/>
      <c r="L96" s="2632"/>
      <c r="M96" s="2632"/>
      <c r="S96" s="306"/>
    </row>
    <row r="97" spans="3:19" ht="13.35" customHeight="1">
      <c r="C97" s="996"/>
      <c r="F97" s="2632"/>
      <c r="G97" s="2632"/>
      <c r="H97" s="2632"/>
      <c r="I97" s="2632"/>
      <c r="J97" s="2632"/>
      <c r="K97" s="995"/>
      <c r="L97" s="2632"/>
      <c r="M97" s="2632"/>
      <c r="S97" s="306"/>
    </row>
    <row r="98" spans="3:19" ht="13.35" customHeight="1">
      <c r="C98" s="996"/>
      <c r="F98" s="2632"/>
      <c r="G98" s="2632"/>
      <c r="H98" s="2632"/>
      <c r="I98" s="2632"/>
      <c r="J98" s="2632"/>
      <c r="K98" s="995"/>
      <c r="L98" s="2632"/>
      <c r="M98" s="2632"/>
      <c r="S98" s="306"/>
    </row>
    <row r="99" spans="3:19" ht="13.35" customHeight="1">
      <c r="C99" s="996"/>
      <c r="F99" s="2632"/>
      <c r="G99" s="2632"/>
      <c r="H99" s="2632"/>
      <c r="I99" s="2632"/>
      <c r="J99" s="2632"/>
      <c r="K99" s="995"/>
      <c r="L99" s="2632"/>
      <c r="M99" s="2632"/>
      <c r="S99" s="306"/>
    </row>
    <row r="100" spans="3:19" ht="13.35" customHeight="1">
      <c r="C100" s="996"/>
      <c r="F100" s="2632"/>
      <c r="G100" s="2632"/>
      <c r="H100" s="2632"/>
      <c r="I100" s="2632"/>
      <c r="J100" s="2632"/>
      <c r="K100" s="995"/>
      <c r="L100" s="2632"/>
      <c r="M100" s="2632"/>
      <c r="S100" s="306"/>
    </row>
    <row r="101" spans="3:19" ht="13.35" customHeight="1">
      <c r="C101" s="996"/>
      <c r="F101" s="2632"/>
      <c r="G101" s="2632"/>
      <c r="H101" s="2632"/>
      <c r="I101" s="2632"/>
      <c r="J101" s="2632"/>
      <c r="K101" s="995"/>
      <c r="L101" s="2632"/>
      <c r="M101" s="2632"/>
      <c r="S101" s="306"/>
    </row>
    <row r="102" spans="3:19" ht="13.35" customHeight="1">
      <c r="C102" s="996"/>
      <c r="F102" s="2632"/>
      <c r="G102" s="2632"/>
      <c r="H102" s="2632"/>
      <c r="I102" s="2632"/>
      <c r="J102" s="2632"/>
      <c r="K102" s="995"/>
      <c r="L102" s="2632"/>
      <c r="M102" s="2632"/>
      <c r="S102" s="306"/>
    </row>
    <row r="103" spans="3:19" ht="13.35" customHeight="1">
      <c r="C103" s="996"/>
      <c r="F103" s="2632"/>
      <c r="G103" s="2632"/>
      <c r="H103" s="2632"/>
      <c r="I103" s="2632"/>
      <c r="J103" s="2632"/>
      <c r="K103" s="995"/>
      <c r="L103" s="2632"/>
      <c r="M103" s="2632"/>
      <c r="S103" s="306"/>
    </row>
    <row r="104" spans="3:19" ht="13.35" customHeight="1">
      <c r="C104" s="996"/>
      <c r="F104" s="2632"/>
      <c r="G104" s="2632"/>
      <c r="H104" s="2632"/>
      <c r="I104" s="2632"/>
      <c r="J104" s="2632"/>
      <c r="K104" s="995"/>
      <c r="L104" s="2632"/>
      <c r="M104" s="2632"/>
      <c r="S104" s="306"/>
    </row>
    <row r="105" spans="3:19" ht="13.35" customHeight="1">
      <c r="C105" s="996"/>
      <c r="F105" s="2632"/>
      <c r="G105" s="2632"/>
      <c r="H105" s="2632"/>
      <c r="I105" s="2632"/>
      <c r="J105" s="2632"/>
      <c r="K105" s="995"/>
      <c r="L105" s="2632"/>
      <c r="M105" s="2632"/>
      <c r="S105" s="306"/>
    </row>
    <row r="106" spans="3:19" ht="13.35" customHeight="1">
      <c r="C106" s="996"/>
      <c r="F106" s="2632"/>
      <c r="G106" s="2632"/>
      <c r="H106" s="2632"/>
      <c r="I106" s="2632"/>
      <c r="J106" s="2632"/>
      <c r="K106" s="995"/>
      <c r="L106" s="2632"/>
      <c r="M106" s="2632"/>
      <c r="S106" s="306"/>
    </row>
    <row r="107" spans="3:19" ht="13.35" customHeight="1">
      <c r="C107" s="996"/>
      <c r="F107" s="2632"/>
      <c r="G107" s="2632"/>
      <c r="H107" s="2632"/>
      <c r="I107" s="2632"/>
      <c r="J107" s="2632"/>
      <c r="K107" s="995"/>
      <c r="L107" s="2632"/>
      <c r="M107" s="2632"/>
      <c r="S107" s="306"/>
    </row>
    <row r="108" spans="3:19" ht="13.35" customHeight="1">
      <c r="C108" s="996" t="s">
        <v>7021</v>
      </c>
      <c r="F108" s="2632"/>
      <c r="G108" s="2632"/>
      <c r="H108" s="2632"/>
      <c r="I108" s="2632"/>
      <c r="J108" s="2632"/>
      <c r="K108" s="995"/>
      <c r="L108" s="2632"/>
      <c r="M108" s="2632"/>
      <c r="S108" s="306"/>
    </row>
    <row r="109" spans="3:19" ht="13.35" customHeight="1">
      <c r="C109" s="996"/>
      <c r="F109" s="2632"/>
      <c r="G109" s="2632"/>
      <c r="H109" s="2632"/>
      <c r="I109" s="2632"/>
      <c r="J109" s="2632"/>
      <c r="K109" s="995"/>
      <c r="L109" s="2632"/>
      <c r="M109" s="2632"/>
      <c r="S109" s="306"/>
    </row>
    <row r="110" spans="3:19" ht="13.35" customHeight="1">
      <c r="C110" s="996"/>
      <c r="F110" s="2632"/>
      <c r="G110" s="2632"/>
      <c r="H110" s="2632"/>
      <c r="I110" s="2632"/>
      <c r="J110" s="2632"/>
      <c r="K110" s="995"/>
      <c r="L110" s="2632"/>
      <c r="M110" s="2632"/>
      <c r="S110" s="306"/>
    </row>
    <row r="111" spans="3:19" ht="13.35" customHeight="1">
      <c r="C111" s="996"/>
      <c r="F111" s="2632"/>
      <c r="G111" s="2632"/>
      <c r="H111" s="2632"/>
      <c r="I111" s="2632"/>
      <c r="J111" s="2632"/>
      <c r="K111" s="995"/>
      <c r="L111" s="2632"/>
      <c r="M111" s="2632"/>
      <c r="S111" s="306"/>
    </row>
    <row r="112" spans="3:19" ht="13.35" customHeight="1">
      <c r="C112" s="996"/>
      <c r="F112" s="2632"/>
      <c r="G112" s="2632"/>
      <c r="H112" s="2632"/>
      <c r="I112" s="2632"/>
      <c r="J112" s="2632"/>
      <c r="K112" s="995"/>
      <c r="L112" s="2632"/>
      <c r="M112" s="2632"/>
      <c r="S112" s="306"/>
    </row>
    <row r="113" spans="3:19" ht="13.35" customHeight="1">
      <c r="C113" s="996"/>
      <c r="F113" s="2632"/>
      <c r="G113" s="2632"/>
      <c r="H113" s="2632"/>
      <c r="I113" s="2632"/>
      <c r="J113" s="2632"/>
      <c r="K113" s="995"/>
      <c r="L113" s="2632"/>
      <c r="M113" s="2632"/>
      <c r="S113" s="306"/>
    </row>
    <row r="114" spans="3:19" ht="13.35" customHeight="1">
      <c r="C114" s="996"/>
      <c r="F114" s="2632"/>
      <c r="G114" s="2632"/>
      <c r="H114" s="2632"/>
      <c r="I114" s="2632"/>
      <c r="J114" s="2632"/>
      <c r="K114" s="995"/>
      <c r="L114" s="2632"/>
      <c r="M114" s="2632"/>
      <c r="S114" s="306"/>
    </row>
    <row r="115" spans="3:19" ht="13.35" customHeight="1">
      <c r="C115" s="996"/>
      <c r="F115" s="2632"/>
      <c r="G115" s="2632"/>
      <c r="H115" s="2632"/>
      <c r="I115" s="2632"/>
      <c r="J115" s="2632"/>
      <c r="K115" s="995"/>
      <c r="L115" s="2632"/>
      <c r="M115" s="2632"/>
      <c r="S115" s="306"/>
    </row>
    <row r="116" spans="3:19" ht="13.35" customHeight="1">
      <c r="C116" s="996"/>
      <c r="F116" s="2632"/>
      <c r="G116" s="2632"/>
      <c r="H116" s="2632"/>
      <c r="I116" s="2632"/>
      <c r="J116" s="2632"/>
      <c r="K116" s="995"/>
      <c r="L116" s="2632"/>
      <c r="M116" s="2632"/>
      <c r="S116" s="306"/>
    </row>
    <row r="117" spans="3:19" ht="13.35" customHeight="1">
      <c r="C117" s="996"/>
      <c r="F117" s="2632"/>
      <c r="G117" s="2632"/>
      <c r="H117" s="2632"/>
      <c r="I117" s="2632"/>
      <c r="J117" s="2632"/>
      <c r="K117" s="995"/>
      <c r="L117" s="2632"/>
      <c r="M117" s="2632"/>
      <c r="S117" s="306"/>
    </row>
    <row r="118" spans="3:19" ht="13.35" customHeight="1">
      <c r="C118" s="996"/>
      <c r="F118" s="2632"/>
      <c r="G118" s="2632"/>
      <c r="H118" s="2632"/>
      <c r="I118" s="2632"/>
      <c r="J118" s="2632"/>
      <c r="K118" s="995"/>
      <c r="L118" s="2632"/>
      <c r="M118" s="2632"/>
      <c r="S118" s="306"/>
    </row>
    <row r="119" spans="3:19" ht="13.35" customHeight="1">
      <c r="C119" s="996"/>
      <c r="F119" s="2632"/>
      <c r="G119" s="2632"/>
      <c r="H119" s="2632"/>
      <c r="I119" s="2632"/>
      <c r="J119" s="2632"/>
      <c r="K119" s="995"/>
      <c r="L119" s="2632"/>
      <c r="M119" s="2632"/>
      <c r="S119" s="306"/>
    </row>
    <row r="120" spans="3:19" ht="13.35" customHeight="1">
      <c r="C120" s="996"/>
      <c r="F120" s="2632"/>
      <c r="G120" s="2632"/>
      <c r="H120" s="2632"/>
      <c r="I120" s="2632"/>
      <c r="J120" s="2632"/>
      <c r="K120" s="995"/>
      <c r="L120" s="2632"/>
      <c r="M120" s="2632"/>
      <c r="S120" s="306"/>
    </row>
    <row r="121" spans="3:19" ht="13.35" customHeight="1">
      <c r="C121" s="996"/>
      <c r="F121" s="2632"/>
      <c r="G121" s="2632"/>
      <c r="H121" s="2632"/>
      <c r="I121" s="2632"/>
      <c r="J121" s="2632"/>
      <c r="K121" s="995"/>
      <c r="L121" s="2632"/>
      <c r="M121" s="2632"/>
      <c r="S121" s="306"/>
    </row>
    <row r="122" spans="3:19" ht="13.35" customHeight="1">
      <c r="C122" s="996"/>
      <c r="F122" s="2632"/>
      <c r="G122" s="2632"/>
      <c r="H122" s="2632"/>
      <c r="I122" s="2632"/>
      <c r="J122" s="2632"/>
      <c r="K122" s="995"/>
      <c r="L122" s="2632"/>
      <c r="M122" s="2632"/>
      <c r="S122" s="306"/>
    </row>
    <row r="123" spans="3:19" ht="13.35" customHeight="1">
      <c r="C123" s="996"/>
      <c r="F123" s="2632"/>
      <c r="G123" s="2632"/>
      <c r="H123" s="2632"/>
      <c r="I123" s="2632"/>
      <c r="J123" s="2632"/>
      <c r="K123" s="995"/>
      <c r="L123" s="2632"/>
      <c r="M123" s="2632"/>
      <c r="S123" s="306"/>
    </row>
    <row r="124" spans="3:19" ht="13.35" customHeight="1">
      <c r="C124" s="996"/>
      <c r="F124" s="2632"/>
      <c r="G124" s="2632"/>
      <c r="H124" s="2632"/>
      <c r="I124" s="2632"/>
      <c r="J124" s="2632"/>
      <c r="K124" s="995"/>
      <c r="L124" s="2632"/>
      <c r="M124" s="2632"/>
      <c r="S124" s="306"/>
    </row>
    <row r="125" spans="3:19" ht="13.35" customHeight="1">
      <c r="C125" s="996"/>
      <c r="F125" s="2632"/>
      <c r="G125" s="2632"/>
      <c r="H125" s="2632"/>
      <c r="I125" s="2632"/>
      <c r="J125" s="2632"/>
      <c r="K125" s="995"/>
      <c r="L125" s="2632"/>
      <c r="M125" s="2632"/>
      <c r="S125" s="306"/>
    </row>
    <row r="126" spans="3:19" ht="13.35" customHeight="1">
      <c r="C126" s="996"/>
      <c r="F126" s="2632"/>
      <c r="G126" s="2632"/>
      <c r="H126" s="2632"/>
      <c r="I126" s="2632"/>
      <c r="J126" s="2632"/>
      <c r="K126" s="995"/>
      <c r="L126" s="2632"/>
      <c r="M126" s="2632"/>
      <c r="S126" s="306"/>
    </row>
    <row r="127" spans="3:19" ht="13.35" customHeight="1">
      <c r="C127" s="996"/>
      <c r="F127" s="2632"/>
      <c r="G127" s="2632"/>
      <c r="H127" s="2632"/>
      <c r="I127" s="2632"/>
      <c r="J127" s="2632"/>
      <c r="K127" s="995"/>
      <c r="L127" s="2632"/>
      <c r="M127" s="2632"/>
      <c r="S127" s="306"/>
    </row>
    <row r="128" spans="3:19" ht="13.35" customHeight="1">
      <c r="C128" s="996"/>
      <c r="F128" s="2632"/>
      <c r="G128" s="2632"/>
      <c r="H128" s="2632"/>
      <c r="I128" s="2632"/>
      <c r="J128" s="2632"/>
      <c r="K128" s="995"/>
      <c r="L128" s="2632"/>
      <c r="M128" s="2632"/>
      <c r="S128" s="306"/>
    </row>
    <row r="129" spans="3:19" ht="13.35" customHeight="1">
      <c r="C129" s="996"/>
      <c r="F129" s="2632"/>
      <c r="G129" s="2632"/>
      <c r="H129" s="2632"/>
      <c r="I129" s="2632"/>
      <c r="J129" s="2632"/>
      <c r="K129" s="995"/>
      <c r="L129" s="2632"/>
      <c r="M129" s="2632"/>
      <c r="S129" s="306"/>
    </row>
    <row r="130" spans="3:19" ht="13.35" customHeight="1">
      <c r="C130" s="996"/>
      <c r="F130" s="2632"/>
      <c r="G130" s="2632"/>
      <c r="H130" s="2632"/>
      <c r="I130" s="2632"/>
      <c r="J130" s="2632"/>
      <c r="K130" s="995"/>
      <c r="L130" s="2632"/>
      <c r="M130" s="2632"/>
      <c r="S130" s="306"/>
    </row>
    <row r="131" spans="3:19" ht="13.35" customHeight="1">
      <c r="C131" s="996"/>
      <c r="F131" s="2632"/>
      <c r="G131" s="2632"/>
      <c r="H131" s="2632"/>
      <c r="I131" s="2632"/>
      <c r="J131" s="2632"/>
      <c r="K131" s="995"/>
      <c r="L131" s="2632"/>
      <c r="M131" s="2632"/>
      <c r="S131" s="306"/>
    </row>
    <row r="132" spans="3:19" ht="13.35" customHeight="1">
      <c r="C132" s="996"/>
      <c r="F132" s="2632"/>
      <c r="G132" s="2632"/>
      <c r="H132" s="2632"/>
      <c r="I132" s="2632"/>
      <c r="J132" s="2632"/>
      <c r="K132" s="995"/>
      <c r="L132" s="2632"/>
      <c r="M132" s="2632"/>
      <c r="S132" s="306"/>
    </row>
    <row r="133" spans="3:19" ht="13.35" customHeight="1">
      <c r="C133" s="996"/>
      <c r="F133" s="2632"/>
      <c r="G133" s="2632"/>
      <c r="H133" s="2632"/>
      <c r="I133" s="2632"/>
      <c r="J133" s="2632"/>
      <c r="K133" s="995"/>
      <c r="L133" s="2632"/>
      <c r="M133" s="2632"/>
      <c r="S133" s="306"/>
    </row>
    <row r="134" spans="3:19" ht="13.35" customHeight="1">
      <c r="C134" s="996"/>
      <c r="F134" s="2632"/>
      <c r="G134" s="2632"/>
      <c r="H134" s="2632"/>
      <c r="I134" s="2632"/>
      <c r="J134" s="2632"/>
      <c r="K134" s="995"/>
      <c r="L134" s="2632"/>
      <c r="M134" s="2632"/>
      <c r="S134" s="306"/>
    </row>
    <row r="135" spans="3:19" ht="13.35" customHeight="1">
      <c r="C135" s="996"/>
      <c r="F135" s="2632"/>
      <c r="G135" s="2632"/>
      <c r="H135" s="2632"/>
      <c r="I135" s="2632"/>
      <c r="J135" s="2632"/>
      <c r="K135" s="995"/>
      <c r="L135" s="2632"/>
      <c r="M135" s="2632"/>
      <c r="S135" s="306"/>
    </row>
    <row r="136" spans="3:19" ht="13.35" customHeight="1">
      <c r="C136" s="996"/>
      <c r="F136" s="2632"/>
      <c r="G136" s="2632"/>
      <c r="H136" s="2632"/>
      <c r="I136" s="2632"/>
      <c r="J136" s="2632"/>
      <c r="K136" s="995"/>
      <c r="L136" s="2632"/>
      <c r="M136" s="2632"/>
      <c r="S136" s="306"/>
    </row>
    <row r="137" spans="3:19" ht="13.35" customHeight="1">
      <c r="C137" s="996"/>
      <c r="F137" s="2632"/>
      <c r="G137" s="2632"/>
      <c r="H137" s="2632"/>
      <c r="I137" s="2632"/>
      <c r="J137" s="2632"/>
      <c r="K137" s="995"/>
      <c r="L137" s="2632"/>
      <c r="M137" s="2632"/>
      <c r="S137" s="306"/>
    </row>
    <row r="138" spans="3:19" ht="13.35" customHeight="1">
      <c r="C138" s="996"/>
      <c r="F138" s="2632"/>
      <c r="G138" s="2632"/>
      <c r="H138" s="2632"/>
      <c r="I138" s="2632"/>
      <c r="J138" s="2632"/>
      <c r="K138" s="995"/>
      <c r="L138" s="2632"/>
      <c r="M138" s="2632"/>
      <c r="S138" s="306"/>
    </row>
    <row r="139" spans="3:19" ht="13.35" customHeight="1">
      <c r="C139" s="996"/>
      <c r="F139" s="2632"/>
      <c r="G139" s="2632"/>
      <c r="H139" s="2632"/>
      <c r="I139" s="2632"/>
      <c r="J139" s="2632"/>
      <c r="K139" s="995"/>
      <c r="L139" s="2632"/>
      <c r="M139" s="2632"/>
      <c r="S139" s="306"/>
    </row>
    <row r="140" spans="3:19" ht="13.35" customHeight="1">
      <c r="C140" s="996"/>
      <c r="F140" s="2632"/>
      <c r="G140" s="2632"/>
      <c r="H140" s="2632"/>
      <c r="I140" s="2632"/>
      <c r="J140" s="2632"/>
      <c r="K140" s="995"/>
      <c r="L140" s="2632"/>
      <c r="M140" s="2632"/>
      <c r="S140" s="306"/>
    </row>
    <row r="141" spans="3:19" ht="13.35" customHeight="1">
      <c r="C141" s="996"/>
      <c r="F141" s="2632"/>
      <c r="G141" s="2632"/>
      <c r="H141" s="2632"/>
      <c r="I141" s="2632"/>
      <c r="J141" s="2632"/>
      <c r="K141" s="995"/>
      <c r="L141" s="2632"/>
      <c r="M141" s="2632"/>
      <c r="S141" s="306"/>
    </row>
    <row r="142" spans="3:19" ht="13.35" customHeight="1">
      <c r="C142" s="996"/>
      <c r="F142" s="2632"/>
      <c r="G142" s="2632"/>
      <c r="H142" s="2632"/>
      <c r="I142" s="2632"/>
      <c r="J142" s="2632"/>
      <c r="K142" s="995"/>
      <c r="L142" s="2632"/>
      <c r="M142" s="2632"/>
      <c r="S142" s="306"/>
    </row>
    <row r="143" spans="3:19" ht="13.35" customHeight="1">
      <c r="C143" s="996"/>
      <c r="F143" s="2632"/>
      <c r="G143" s="2632"/>
      <c r="H143" s="2632"/>
      <c r="I143" s="2632"/>
      <c r="J143" s="2632"/>
      <c r="K143" s="995"/>
      <c r="L143" s="2632"/>
      <c r="M143" s="2632"/>
      <c r="S143" s="306"/>
    </row>
    <row r="144" spans="3:19" ht="13.35" customHeight="1">
      <c r="C144" s="996"/>
      <c r="F144" s="2632"/>
      <c r="G144" s="2632"/>
      <c r="H144" s="2632"/>
      <c r="I144" s="2632"/>
      <c r="J144" s="2632"/>
      <c r="K144" s="995"/>
      <c r="L144" s="2632"/>
      <c r="M144" s="2632"/>
      <c r="S144" s="306"/>
    </row>
    <row r="145" spans="3:19" ht="13.35" customHeight="1">
      <c r="C145" s="996"/>
      <c r="F145" s="2632"/>
      <c r="G145" s="2632"/>
      <c r="H145" s="2632"/>
      <c r="I145" s="2632"/>
      <c r="J145" s="2632"/>
      <c r="K145" s="995"/>
      <c r="L145" s="2632"/>
      <c r="M145" s="2632"/>
      <c r="S145" s="306"/>
    </row>
    <row r="146" spans="3:19" ht="13.35" customHeight="1">
      <c r="C146" s="996"/>
      <c r="F146" s="2632"/>
      <c r="G146" s="2632"/>
      <c r="H146" s="2632"/>
      <c r="I146" s="2632"/>
      <c r="J146" s="2632"/>
      <c r="K146" s="995"/>
      <c r="L146" s="2632"/>
      <c r="M146" s="2632"/>
      <c r="S146" s="306"/>
    </row>
    <row r="147" spans="3:19" ht="13.35" customHeight="1">
      <c r="C147" s="996"/>
      <c r="F147" s="2632"/>
      <c r="G147" s="2632"/>
      <c r="H147" s="2632"/>
      <c r="I147" s="2632"/>
      <c r="J147" s="2632"/>
      <c r="K147" s="995"/>
      <c r="L147" s="2632"/>
      <c r="M147" s="2632"/>
      <c r="S147" s="306"/>
    </row>
    <row r="148" spans="3:19" ht="13.35" customHeight="1">
      <c r="C148" s="996"/>
      <c r="F148" s="2632"/>
      <c r="G148" s="2632"/>
      <c r="H148" s="2632"/>
      <c r="I148" s="2632"/>
      <c r="J148" s="2632"/>
      <c r="K148" s="995"/>
      <c r="L148" s="2632"/>
      <c r="M148" s="2632"/>
      <c r="S148" s="306"/>
    </row>
    <row r="149" spans="3:19" ht="13.35" customHeight="1">
      <c r="C149" s="996"/>
      <c r="F149" s="2632"/>
      <c r="G149" s="2632"/>
      <c r="H149" s="2632"/>
      <c r="I149" s="2632"/>
      <c r="J149" s="2632"/>
      <c r="K149" s="995"/>
      <c r="L149" s="2632"/>
      <c r="M149" s="2632"/>
      <c r="S149" s="306"/>
    </row>
    <row r="150" spans="3:19" ht="13.35" customHeight="1">
      <c r="C150" s="996"/>
      <c r="F150" s="2632"/>
      <c r="G150" s="2632"/>
      <c r="H150" s="2632"/>
      <c r="I150" s="2632"/>
      <c r="J150" s="2632"/>
      <c r="K150" s="995"/>
      <c r="L150" s="2632"/>
      <c r="M150" s="2632"/>
      <c r="S150" s="306"/>
    </row>
    <row r="151" spans="3:19" ht="13.35" customHeight="1">
      <c r="C151" s="996"/>
      <c r="F151" s="2632"/>
      <c r="G151" s="2632"/>
      <c r="H151" s="2632"/>
      <c r="I151" s="2632"/>
      <c r="J151" s="2632"/>
      <c r="K151" s="995"/>
      <c r="L151" s="2632"/>
      <c r="M151" s="2632"/>
      <c r="S151" s="306"/>
    </row>
    <row r="152" spans="3:19" ht="13.35" customHeight="1">
      <c r="C152" s="996"/>
      <c r="F152" s="2632"/>
      <c r="G152" s="2632"/>
      <c r="H152" s="2632"/>
      <c r="I152" s="2632"/>
      <c r="J152" s="2632"/>
      <c r="K152" s="995"/>
      <c r="L152" s="2632"/>
      <c r="M152" s="2632"/>
      <c r="S152" s="306"/>
    </row>
    <row r="153" spans="3:19" ht="13.35" customHeight="1">
      <c r="C153" s="996"/>
      <c r="F153" s="2632"/>
      <c r="G153" s="2632"/>
      <c r="H153" s="2632"/>
      <c r="I153" s="2632"/>
      <c r="J153" s="2632"/>
      <c r="K153" s="995"/>
      <c r="L153" s="2632"/>
      <c r="M153" s="2632"/>
      <c r="S153" s="306"/>
    </row>
    <row r="154" spans="3:19" ht="13.35" customHeight="1">
      <c r="C154" s="996"/>
      <c r="F154" s="2632"/>
      <c r="G154" s="2632"/>
      <c r="H154" s="2632"/>
      <c r="I154" s="2632"/>
      <c r="J154" s="2632"/>
      <c r="K154" s="995"/>
      <c r="L154" s="2632"/>
      <c r="M154" s="2632"/>
      <c r="S154" s="306"/>
    </row>
    <row r="155" spans="3:19" ht="13.35" customHeight="1">
      <c r="C155" s="996"/>
      <c r="F155" s="2632"/>
      <c r="G155" s="2632"/>
      <c r="H155" s="2632"/>
      <c r="I155" s="2632"/>
      <c r="J155" s="2632"/>
      <c r="K155" s="995"/>
      <c r="L155" s="2632"/>
      <c r="M155" s="2632"/>
      <c r="S155" s="306"/>
    </row>
    <row r="156" spans="3:19" ht="13.35" customHeight="1">
      <c r="C156" s="996"/>
      <c r="F156" s="2632"/>
      <c r="G156" s="2632"/>
      <c r="H156" s="2632"/>
      <c r="I156" s="2632"/>
      <c r="J156" s="2632"/>
      <c r="K156" s="995"/>
      <c r="L156" s="2632"/>
      <c r="M156" s="2632"/>
      <c r="S156" s="306"/>
    </row>
    <row r="157" spans="3:19" ht="13.35" customHeight="1">
      <c r="C157" s="996"/>
      <c r="F157" s="2632"/>
      <c r="G157" s="2632"/>
      <c r="H157" s="2632"/>
      <c r="I157" s="2632"/>
      <c r="J157" s="2632"/>
      <c r="K157" s="995"/>
      <c r="L157" s="2632"/>
      <c r="M157" s="2632"/>
      <c r="S157" s="306"/>
    </row>
    <row r="158" spans="3:19" ht="13.35" customHeight="1">
      <c r="C158" s="996"/>
      <c r="F158" s="2632"/>
      <c r="G158" s="2632"/>
      <c r="H158" s="2632"/>
      <c r="I158" s="2632"/>
      <c r="J158" s="2632"/>
      <c r="K158" s="995"/>
      <c r="L158" s="2632"/>
      <c r="M158" s="2632"/>
      <c r="S158" s="306"/>
    </row>
    <row r="159" spans="3:19" ht="13.35" customHeight="1">
      <c r="C159" s="996"/>
      <c r="F159" s="2632"/>
      <c r="G159" s="2632"/>
      <c r="H159" s="2632"/>
      <c r="I159" s="2632"/>
      <c r="J159" s="2632"/>
      <c r="K159" s="995"/>
      <c r="L159" s="2632"/>
      <c r="M159" s="2632"/>
      <c r="S159" s="306"/>
    </row>
    <row r="160" spans="3:19" ht="13.35" customHeight="1">
      <c r="C160" s="996"/>
      <c r="F160" s="2632"/>
      <c r="G160" s="2632"/>
      <c r="H160" s="2632"/>
      <c r="I160" s="2632"/>
      <c r="J160" s="2632"/>
      <c r="K160" s="995"/>
      <c r="L160" s="2632"/>
      <c r="M160" s="2632"/>
      <c r="S160" s="306"/>
    </row>
    <row r="161" spans="3:19" ht="13.35" customHeight="1">
      <c r="C161" s="996"/>
      <c r="F161" s="2632"/>
      <c r="G161" s="2632"/>
      <c r="H161" s="2632"/>
      <c r="I161" s="2632"/>
      <c r="J161" s="2632"/>
      <c r="K161" s="995"/>
      <c r="L161" s="2632"/>
      <c r="M161" s="2632"/>
      <c r="S161" s="306"/>
    </row>
    <row r="162" spans="3:19" ht="13.35" customHeight="1">
      <c r="C162" s="996"/>
      <c r="F162" s="2632"/>
      <c r="G162" s="2632"/>
      <c r="H162" s="2632"/>
      <c r="I162" s="2632"/>
      <c r="J162" s="2632"/>
      <c r="K162" s="995"/>
      <c r="L162" s="2632"/>
      <c r="M162" s="2632"/>
      <c r="S162" s="306"/>
    </row>
    <row r="163" spans="3:19" ht="13.35" customHeight="1">
      <c r="C163" s="996"/>
      <c r="F163" s="2632"/>
      <c r="G163" s="2632"/>
      <c r="H163" s="2632"/>
      <c r="I163" s="2632"/>
      <c r="J163" s="2632"/>
      <c r="K163" s="995"/>
      <c r="L163" s="2632"/>
      <c r="M163" s="2632"/>
      <c r="S163" s="306"/>
    </row>
    <row r="164" spans="3:19" ht="13.35" customHeight="1">
      <c r="C164" s="996"/>
      <c r="F164" s="2632"/>
      <c r="G164" s="2632"/>
      <c r="H164" s="2632"/>
      <c r="I164" s="2632"/>
      <c r="J164" s="2632"/>
      <c r="K164" s="995"/>
      <c r="L164" s="2632"/>
      <c r="M164" s="2632"/>
      <c r="S164" s="306"/>
    </row>
    <row r="165" spans="3:19" ht="13.35" customHeight="1">
      <c r="C165" s="996"/>
      <c r="F165" s="2632"/>
      <c r="G165" s="2632"/>
      <c r="H165" s="2632"/>
      <c r="I165" s="2632"/>
      <c r="J165" s="2632"/>
      <c r="K165" s="995"/>
      <c r="L165" s="2632"/>
      <c r="M165" s="2632"/>
      <c r="S165" s="306"/>
    </row>
    <row r="166" spans="3:19" ht="13.35" customHeight="1">
      <c r="C166" s="996"/>
      <c r="F166" s="2632"/>
      <c r="G166" s="2632"/>
      <c r="H166" s="2632"/>
      <c r="I166" s="2632"/>
      <c r="J166" s="2632"/>
      <c r="K166" s="995"/>
      <c r="L166" s="2632"/>
      <c r="M166" s="2632"/>
      <c r="S166" s="306"/>
    </row>
    <row r="167" spans="3:19" ht="13.35" customHeight="1">
      <c r="C167" s="996"/>
      <c r="F167" s="2632"/>
      <c r="G167" s="2632"/>
      <c r="H167" s="2632"/>
      <c r="I167" s="2632"/>
      <c r="J167" s="2632"/>
      <c r="K167" s="995"/>
      <c r="L167" s="2632"/>
      <c r="M167" s="2632"/>
      <c r="S167" s="306"/>
    </row>
    <row r="168" spans="3:19" ht="13.35" customHeight="1">
      <c r="C168" s="996"/>
      <c r="F168" s="2632"/>
      <c r="G168" s="2632"/>
      <c r="H168" s="2632"/>
      <c r="I168" s="2632"/>
      <c r="J168" s="2632"/>
      <c r="K168" s="995"/>
      <c r="L168" s="2632"/>
      <c r="M168" s="2632"/>
      <c r="S168" s="306"/>
    </row>
    <row r="169" spans="3:19" ht="13.35" customHeight="1">
      <c r="C169" s="996"/>
      <c r="F169" s="2632"/>
      <c r="G169" s="2632"/>
      <c r="H169" s="2632"/>
      <c r="I169" s="2632"/>
      <c r="J169" s="2632"/>
      <c r="K169" s="995"/>
      <c r="L169" s="2632"/>
      <c r="M169" s="2632"/>
      <c r="S169" s="306"/>
    </row>
    <row r="170" spans="3:19" ht="13.35" customHeight="1">
      <c r="C170" s="996"/>
      <c r="F170" s="2632"/>
      <c r="G170" s="2632"/>
      <c r="H170" s="2632"/>
      <c r="I170" s="2632"/>
      <c r="J170" s="2632"/>
      <c r="K170" s="995"/>
      <c r="L170" s="2632"/>
      <c r="M170" s="2632"/>
      <c r="S170" s="306"/>
    </row>
    <row r="171" spans="3:19" ht="13.35" customHeight="1">
      <c r="C171" s="996"/>
      <c r="F171" s="2632"/>
      <c r="G171" s="2632"/>
      <c r="H171" s="2632"/>
      <c r="I171" s="2632"/>
      <c r="J171" s="2632"/>
      <c r="K171" s="995"/>
      <c r="L171" s="2632"/>
      <c r="M171" s="2632"/>
      <c r="S171" s="306"/>
    </row>
    <row r="172" spans="3:19" ht="13.35" customHeight="1">
      <c r="C172" s="996"/>
      <c r="F172" s="2632"/>
      <c r="G172" s="2632"/>
      <c r="H172" s="2632"/>
      <c r="I172" s="2632"/>
      <c r="J172" s="2632"/>
      <c r="K172" s="995"/>
      <c r="L172" s="2632"/>
      <c r="M172" s="2632"/>
      <c r="S172" s="306"/>
    </row>
    <row r="173" spans="3:19" ht="13.35" customHeight="1">
      <c r="C173" s="996"/>
      <c r="F173" s="2632"/>
      <c r="G173" s="2632"/>
      <c r="H173" s="2632"/>
      <c r="I173" s="2632"/>
      <c r="J173" s="2632"/>
      <c r="K173" s="995"/>
      <c r="L173" s="2632"/>
      <c r="M173" s="2632"/>
      <c r="S173" s="306"/>
    </row>
    <row r="174" spans="3:19" ht="13.35" customHeight="1">
      <c r="C174" s="996"/>
      <c r="F174" s="2632"/>
      <c r="G174" s="2632"/>
      <c r="H174" s="2632"/>
      <c r="I174" s="2632"/>
      <c r="J174" s="2632"/>
      <c r="K174" s="995"/>
      <c r="L174" s="2632"/>
      <c r="M174" s="2632"/>
      <c r="S174" s="306"/>
    </row>
    <row r="175" spans="3:19" ht="13.35" customHeight="1">
      <c r="C175" s="996"/>
      <c r="F175" s="2632"/>
      <c r="G175" s="2632"/>
      <c r="H175" s="2632"/>
      <c r="I175" s="2632"/>
      <c r="J175" s="2632"/>
      <c r="K175" s="995"/>
      <c r="L175" s="2632"/>
      <c r="M175" s="2632"/>
      <c r="S175" s="306"/>
    </row>
    <row r="176" spans="3:19" ht="13.35" customHeight="1">
      <c r="C176" s="996"/>
      <c r="F176" s="2632"/>
      <c r="G176" s="2632"/>
      <c r="H176" s="2632"/>
      <c r="I176" s="2632"/>
      <c r="J176" s="2632"/>
      <c r="K176" s="995"/>
      <c r="L176" s="2632"/>
      <c r="M176" s="2632"/>
      <c r="S176" s="306"/>
    </row>
    <row r="177" spans="3:19" ht="13.35" customHeight="1">
      <c r="C177" s="996"/>
      <c r="F177" s="2632"/>
      <c r="G177" s="2632"/>
      <c r="H177" s="2632"/>
      <c r="I177" s="2632"/>
      <c r="J177" s="2632"/>
      <c r="K177" s="995"/>
      <c r="L177" s="2632"/>
      <c r="M177" s="2632"/>
      <c r="S177" s="306"/>
    </row>
    <row r="178" spans="3:19" ht="13.35" customHeight="1">
      <c r="C178" s="996"/>
      <c r="F178" s="2632"/>
      <c r="G178" s="2632"/>
      <c r="H178" s="2632"/>
      <c r="I178" s="2632"/>
      <c r="J178" s="2632"/>
      <c r="K178" s="995"/>
      <c r="L178" s="2632"/>
      <c r="M178" s="2632"/>
      <c r="S178" s="306"/>
    </row>
    <row r="179" spans="3:19" ht="13.35" customHeight="1">
      <c r="C179" s="996"/>
      <c r="F179" s="2632"/>
      <c r="G179" s="2632"/>
      <c r="H179" s="2632"/>
      <c r="I179" s="2632"/>
      <c r="J179" s="2632"/>
      <c r="K179" s="995"/>
      <c r="L179" s="2632"/>
      <c r="M179" s="2632"/>
      <c r="S179" s="306"/>
    </row>
    <row r="180" spans="3:19" ht="13.35" customHeight="1">
      <c r="C180" s="996"/>
      <c r="F180" s="2632"/>
      <c r="G180" s="2632"/>
      <c r="H180" s="2632"/>
      <c r="I180" s="2632"/>
      <c r="J180" s="2632"/>
      <c r="K180" s="995"/>
      <c r="L180" s="2632"/>
      <c r="M180" s="2632"/>
      <c r="S180" s="306"/>
    </row>
    <row r="181" spans="3:19" ht="13.35" customHeight="1">
      <c r="C181" s="996"/>
      <c r="F181" s="2632"/>
      <c r="G181" s="2632"/>
      <c r="H181" s="2632"/>
      <c r="I181" s="2632"/>
      <c r="J181" s="2632"/>
      <c r="K181" s="995"/>
      <c r="L181" s="2632"/>
      <c r="M181" s="2632"/>
      <c r="S181" s="306"/>
    </row>
    <row r="182" spans="3:19" ht="13.35" customHeight="1">
      <c r="C182" s="996"/>
      <c r="F182" s="2632"/>
      <c r="G182" s="2632"/>
      <c r="H182" s="2632"/>
      <c r="I182" s="2632"/>
      <c r="J182" s="2632"/>
      <c r="K182" s="995"/>
      <c r="L182" s="2632"/>
      <c r="M182" s="2632"/>
      <c r="S182" s="306"/>
    </row>
    <row r="183" spans="3:19" ht="13.35" customHeight="1">
      <c r="C183" s="996"/>
      <c r="F183" s="2632"/>
      <c r="G183" s="2632"/>
      <c r="H183" s="2632"/>
      <c r="I183" s="2632"/>
      <c r="J183" s="2632"/>
      <c r="K183" s="995"/>
      <c r="L183" s="2632"/>
      <c r="M183" s="2632"/>
      <c r="S183" s="306"/>
    </row>
    <row r="184" spans="3:19" ht="13.35" customHeight="1">
      <c r="C184" s="996"/>
      <c r="F184" s="2632"/>
      <c r="G184" s="2632"/>
      <c r="H184" s="2632"/>
      <c r="I184" s="2632"/>
      <c r="J184" s="2632"/>
      <c r="K184" s="995"/>
      <c r="L184" s="2632"/>
      <c r="M184" s="2632"/>
      <c r="S184" s="306"/>
    </row>
    <row r="185" spans="3:19" ht="13.35" customHeight="1">
      <c r="C185" s="996"/>
      <c r="F185" s="2632"/>
      <c r="G185" s="2632"/>
      <c r="H185" s="2632"/>
      <c r="I185" s="2632"/>
      <c r="J185" s="2632"/>
      <c r="K185" s="995"/>
      <c r="L185" s="2632"/>
      <c r="M185" s="2632"/>
      <c r="S185" s="306"/>
    </row>
    <row r="186" spans="3:19" ht="13.35" customHeight="1">
      <c r="C186" s="996"/>
      <c r="F186" s="2632"/>
      <c r="G186" s="2632"/>
      <c r="H186" s="2632"/>
      <c r="I186" s="2632"/>
      <c r="J186" s="2632"/>
      <c r="K186" s="995"/>
      <c r="L186" s="2632"/>
      <c r="M186" s="2632"/>
      <c r="S186" s="306"/>
    </row>
    <row r="187" spans="3:19" ht="13.35" customHeight="1">
      <c r="C187" s="996" t="s">
        <v>7021</v>
      </c>
      <c r="F187" s="2632"/>
      <c r="G187" s="2632"/>
      <c r="H187" s="2632"/>
      <c r="I187" s="2632"/>
      <c r="J187" s="2632"/>
      <c r="K187" s="995"/>
      <c r="L187" s="2632"/>
      <c r="M187" s="2632"/>
      <c r="S187" s="306"/>
    </row>
    <row r="188" spans="3:19" ht="13.35" customHeight="1">
      <c r="C188" s="996"/>
      <c r="F188" s="2632"/>
      <c r="G188" s="2632"/>
      <c r="H188" s="2632"/>
      <c r="I188" s="2632"/>
      <c r="J188" s="2632"/>
      <c r="K188" s="995"/>
      <c r="L188" s="2632"/>
      <c r="M188" s="2632"/>
      <c r="S188" s="306"/>
    </row>
    <row r="189" spans="3:19" ht="13.35" customHeight="1">
      <c r="C189" s="996"/>
      <c r="F189" s="2632"/>
      <c r="G189" s="2632"/>
      <c r="H189" s="2632"/>
      <c r="I189" s="2632"/>
      <c r="J189" s="2632"/>
      <c r="K189" s="995"/>
      <c r="L189" s="2632"/>
      <c r="M189" s="2632"/>
      <c r="S189" s="306"/>
    </row>
    <row r="190" spans="3:19" ht="13.35" customHeight="1">
      <c r="C190" s="996"/>
      <c r="F190" s="2632"/>
      <c r="G190" s="2632"/>
      <c r="H190" s="2632"/>
      <c r="I190" s="2632"/>
      <c r="J190" s="2632"/>
      <c r="K190" s="995"/>
      <c r="L190" s="2632"/>
      <c r="M190" s="2632"/>
      <c r="S190" s="306"/>
    </row>
    <row r="191" spans="3:19" ht="13.35" customHeight="1">
      <c r="C191" s="996"/>
      <c r="F191" s="2632"/>
      <c r="G191" s="2632"/>
      <c r="H191" s="2632"/>
      <c r="I191" s="2632"/>
      <c r="J191" s="2632"/>
      <c r="K191" s="995"/>
      <c r="L191" s="2632"/>
      <c r="M191" s="2632"/>
      <c r="S191" s="306"/>
    </row>
    <row r="192" spans="3:19" ht="13.35" customHeight="1">
      <c r="C192" s="996"/>
      <c r="F192" s="2632"/>
      <c r="G192" s="2632"/>
      <c r="H192" s="2632"/>
      <c r="I192" s="2632"/>
      <c r="J192" s="2632"/>
      <c r="K192" s="995"/>
      <c r="L192" s="2632"/>
      <c r="M192" s="2632"/>
      <c r="S192" s="306"/>
    </row>
    <row r="193" spans="3:19" ht="13.35" customHeight="1">
      <c r="C193" s="996"/>
      <c r="F193" s="401"/>
      <c r="G193" s="401"/>
      <c r="H193" s="401"/>
      <c r="I193" s="401"/>
      <c r="J193" s="401"/>
      <c r="K193" s="995"/>
      <c r="L193" s="401"/>
      <c r="M193" s="401"/>
      <c r="S193" s="306"/>
    </row>
    <row r="194" spans="3:19" ht="13.35" customHeight="1">
      <c r="C194" s="996"/>
      <c r="F194" s="401"/>
      <c r="G194" s="401"/>
      <c r="H194" s="401"/>
      <c r="I194" s="401"/>
      <c r="J194" s="401"/>
      <c r="K194" s="995"/>
      <c r="L194" s="401"/>
      <c r="M194" s="401"/>
      <c r="S194" s="306"/>
    </row>
    <row r="195" spans="3:19" ht="13.35" customHeight="1">
      <c r="C195" s="996"/>
      <c r="F195" s="401"/>
      <c r="G195" s="401"/>
      <c r="H195" s="401"/>
      <c r="I195" s="401"/>
      <c r="J195" s="401"/>
      <c r="K195" s="995"/>
      <c r="L195" s="401"/>
      <c r="M195" s="401"/>
      <c r="S195" s="306"/>
    </row>
    <row r="196" spans="3:19" ht="13.35" customHeight="1">
      <c r="C196" s="996"/>
      <c r="F196" s="401"/>
      <c r="G196" s="401"/>
      <c r="H196" s="401"/>
      <c r="I196" s="401"/>
      <c r="J196" s="401"/>
      <c r="K196" s="995"/>
      <c r="L196" s="401"/>
      <c r="M196" s="401"/>
      <c r="S196" s="306"/>
    </row>
    <row r="197" spans="3:19" ht="13.35" customHeight="1">
      <c r="C197" s="996"/>
      <c r="F197" s="401"/>
      <c r="G197" s="401"/>
      <c r="H197" s="401"/>
      <c r="I197" s="401"/>
      <c r="J197" s="401"/>
      <c r="K197" s="995"/>
      <c r="L197" s="401"/>
      <c r="M197" s="401"/>
      <c r="S197" s="306"/>
    </row>
    <row r="198" spans="3:19" ht="13.35" customHeight="1">
      <c r="C198" s="996"/>
      <c r="F198" s="401"/>
      <c r="G198" s="401"/>
      <c r="H198" s="401"/>
      <c r="I198" s="401"/>
      <c r="J198" s="401"/>
      <c r="K198" s="995"/>
      <c r="L198" s="401"/>
      <c r="M198" s="401"/>
      <c r="S198" s="306"/>
    </row>
    <row r="199" spans="3:19" ht="13.35" customHeight="1">
      <c r="C199" s="996"/>
      <c r="F199" s="401"/>
      <c r="G199" s="401"/>
      <c r="H199" s="401"/>
      <c r="I199" s="401"/>
      <c r="J199" s="401"/>
      <c r="K199" s="995"/>
      <c r="L199" s="401"/>
      <c r="M199" s="401"/>
      <c r="S199" s="306"/>
    </row>
    <row r="200" spans="3:19" ht="13.35" customHeight="1">
      <c r="C200" s="996"/>
      <c r="F200" s="401"/>
      <c r="G200" s="401"/>
      <c r="H200" s="401"/>
      <c r="I200" s="401"/>
      <c r="J200" s="401"/>
      <c r="K200" s="995"/>
      <c r="L200" s="401"/>
      <c r="M200" s="401"/>
      <c r="S200" s="306"/>
    </row>
    <row r="201" spans="3:19" ht="13.35" customHeight="1">
      <c r="C201" s="996"/>
      <c r="F201" s="401"/>
      <c r="G201" s="401"/>
      <c r="H201" s="401"/>
      <c r="I201" s="401"/>
      <c r="J201" s="401"/>
      <c r="K201" s="995"/>
      <c r="L201" s="401"/>
      <c r="M201" s="401"/>
      <c r="S201" s="306"/>
    </row>
    <row r="202" spans="3:19" ht="13.35" customHeight="1">
      <c r="C202" s="996"/>
      <c r="F202" s="401"/>
      <c r="G202" s="401"/>
      <c r="H202" s="401"/>
      <c r="I202" s="401"/>
      <c r="J202" s="401"/>
      <c r="K202" s="995"/>
      <c r="L202" s="401"/>
      <c r="M202" s="401"/>
      <c r="S202" s="306"/>
    </row>
    <row r="203" spans="3:19" ht="13.35" customHeight="1">
      <c r="C203" s="996"/>
      <c r="F203" s="401"/>
      <c r="G203" s="401"/>
      <c r="H203" s="401"/>
      <c r="I203" s="401"/>
      <c r="J203" s="401"/>
      <c r="K203" s="995"/>
      <c r="L203" s="401"/>
      <c r="M203" s="401"/>
      <c r="S203" s="306"/>
    </row>
    <row r="204" spans="3:19" ht="13.35" customHeight="1">
      <c r="C204" s="996"/>
      <c r="F204" s="401"/>
      <c r="G204" s="401"/>
      <c r="H204" s="401"/>
      <c r="I204" s="401"/>
      <c r="J204" s="401"/>
      <c r="K204" s="995"/>
      <c r="L204" s="401"/>
      <c r="M204" s="401"/>
      <c r="S204" s="306"/>
    </row>
    <row r="205" spans="3:19" ht="13.35" customHeight="1">
      <c r="C205" s="996"/>
      <c r="F205" s="401"/>
      <c r="G205" s="401"/>
      <c r="H205" s="401"/>
      <c r="I205" s="401"/>
      <c r="J205" s="401"/>
      <c r="K205" s="995"/>
      <c r="L205" s="401"/>
      <c r="M205" s="401"/>
      <c r="S205" s="306"/>
    </row>
    <row r="206" spans="3:19" ht="13.35" customHeight="1">
      <c r="C206" s="996"/>
      <c r="F206" s="401"/>
      <c r="G206" s="401"/>
      <c r="H206" s="401"/>
      <c r="I206" s="401"/>
      <c r="J206" s="401"/>
      <c r="K206" s="995"/>
      <c r="L206" s="401"/>
      <c r="M206" s="401"/>
      <c r="S206" s="306"/>
    </row>
    <row r="207" spans="3:19" ht="13.35" customHeight="1">
      <c r="C207" s="996"/>
      <c r="F207" s="401"/>
      <c r="G207" s="401"/>
      <c r="H207" s="401"/>
      <c r="I207" s="401"/>
      <c r="J207" s="401"/>
      <c r="K207" s="995"/>
      <c r="L207" s="401"/>
      <c r="M207" s="401"/>
      <c r="S207" s="306"/>
    </row>
    <row r="208" spans="3:19" ht="13.35" customHeight="1">
      <c r="C208" s="996"/>
      <c r="F208" s="401"/>
      <c r="G208" s="401"/>
      <c r="H208" s="401"/>
      <c r="I208" s="401"/>
      <c r="J208" s="401"/>
      <c r="K208" s="995"/>
      <c r="L208" s="401"/>
      <c r="M208" s="401"/>
      <c r="S208" s="306"/>
    </row>
    <row r="209" spans="3:19" ht="13.35" customHeight="1">
      <c r="C209" s="996"/>
      <c r="F209" s="401"/>
      <c r="G209" s="401"/>
      <c r="H209" s="401"/>
      <c r="I209" s="401"/>
      <c r="J209" s="401"/>
      <c r="K209" s="995"/>
      <c r="L209" s="401"/>
      <c r="M209" s="401"/>
      <c r="S209" s="306"/>
    </row>
    <row r="210" spans="3:19" ht="13.35" customHeight="1">
      <c r="C210" s="996"/>
      <c r="F210" s="401"/>
      <c r="G210" s="401"/>
      <c r="H210" s="401"/>
      <c r="I210" s="401"/>
      <c r="J210" s="401"/>
      <c r="K210" s="995"/>
      <c r="L210" s="401"/>
      <c r="M210" s="401"/>
      <c r="S210" s="306"/>
    </row>
    <row r="211" spans="3:19" ht="13.35" customHeight="1">
      <c r="C211" s="996"/>
      <c r="F211" s="401"/>
      <c r="G211" s="401"/>
      <c r="H211" s="401"/>
      <c r="I211" s="401"/>
      <c r="J211" s="401"/>
      <c r="K211" s="995"/>
      <c r="L211" s="401"/>
      <c r="M211" s="401"/>
      <c r="S211" s="306"/>
    </row>
    <row r="212" spans="3:19" ht="13.35" customHeight="1">
      <c r="C212" s="996"/>
      <c r="F212" s="401"/>
      <c r="G212" s="401"/>
      <c r="H212" s="401"/>
      <c r="I212" s="401"/>
      <c r="J212" s="401"/>
      <c r="K212" s="995"/>
      <c r="L212" s="401"/>
      <c r="M212" s="401"/>
      <c r="S212" s="306"/>
    </row>
    <row r="213" spans="3:19" ht="13.35" customHeight="1">
      <c r="C213" s="996"/>
      <c r="F213" s="401"/>
      <c r="G213" s="401"/>
      <c r="H213" s="401"/>
      <c r="I213" s="401"/>
      <c r="J213" s="401"/>
      <c r="K213" s="995"/>
      <c r="L213" s="401"/>
      <c r="M213" s="401"/>
      <c r="S213" s="306"/>
    </row>
    <row r="214" spans="3:19" ht="13.35" customHeight="1">
      <c r="C214" s="996"/>
      <c r="F214" s="401"/>
      <c r="G214" s="401"/>
      <c r="H214" s="401"/>
      <c r="I214" s="401"/>
      <c r="J214" s="401"/>
      <c r="K214" s="995"/>
      <c r="L214" s="401"/>
      <c r="M214" s="401"/>
      <c r="S214" s="306"/>
    </row>
    <row r="215" spans="3:19" ht="13.35" customHeight="1">
      <c r="C215" s="996"/>
      <c r="F215" s="401"/>
      <c r="G215" s="401"/>
      <c r="H215" s="401"/>
      <c r="I215" s="401"/>
      <c r="J215" s="401"/>
      <c r="K215" s="995"/>
      <c r="L215" s="401"/>
      <c r="M215" s="401"/>
      <c r="S215" s="306"/>
    </row>
    <row r="216" spans="3:19" ht="13.35" customHeight="1">
      <c r="C216" s="996"/>
      <c r="F216" s="401"/>
      <c r="G216" s="401"/>
      <c r="H216" s="401"/>
      <c r="I216" s="401"/>
      <c r="J216" s="401"/>
      <c r="K216" s="995"/>
      <c r="L216" s="401"/>
      <c r="M216" s="401"/>
      <c r="S216" s="306"/>
    </row>
    <row r="217" spans="3:19" ht="13.35" customHeight="1">
      <c r="C217" s="996"/>
      <c r="F217" s="401"/>
      <c r="G217" s="401"/>
      <c r="H217" s="401"/>
      <c r="I217" s="401"/>
      <c r="J217" s="401"/>
      <c r="K217" s="995"/>
      <c r="L217" s="401"/>
      <c r="M217" s="401"/>
      <c r="S217" s="306"/>
    </row>
    <row r="218" spans="3:19" ht="13.35" customHeight="1">
      <c r="C218" s="996"/>
      <c r="F218" s="401"/>
      <c r="G218" s="401"/>
      <c r="H218" s="401"/>
      <c r="I218" s="401"/>
      <c r="J218" s="401"/>
      <c r="K218" s="995"/>
      <c r="L218" s="401"/>
      <c r="M218" s="401"/>
      <c r="S218" s="306"/>
    </row>
    <row r="219" spans="3:19" ht="13.35" customHeight="1">
      <c r="C219" s="996"/>
      <c r="F219" s="401"/>
      <c r="G219" s="401"/>
      <c r="H219" s="401"/>
      <c r="I219" s="401"/>
      <c r="J219" s="401"/>
      <c r="K219" s="995"/>
      <c r="L219" s="401"/>
      <c r="M219" s="401"/>
      <c r="S219" s="306"/>
    </row>
    <row r="220" spans="3:19" ht="13.35" customHeight="1">
      <c r="C220" s="996"/>
      <c r="F220" s="401"/>
      <c r="G220" s="401"/>
      <c r="H220" s="401"/>
      <c r="I220" s="401"/>
      <c r="J220" s="401"/>
      <c r="K220" s="995"/>
      <c r="L220" s="401"/>
      <c r="M220" s="401"/>
      <c r="S220" s="306"/>
    </row>
    <row r="221" spans="3:19" ht="13.35" customHeight="1">
      <c r="C221" s="996"/>
      <c r="F221" s="401"/>
      <c r="G221" s="401"/>
      <c r="H221" s="401"/>
      <c r="I221" s="401"/>
      <c r="J221" s="401"/>
      <c r="K221" s="995"/>
      <c r="L221" s="401"/>
      <c r="M221" s="401"/>
      <c r="S221" s="306"/>
    </row>
    <row r="222" spans="3:19" ht="13.35" customHeight="1">
      <c r="C222" s="996"/>
      <c r="F222" s="401"/>
      <c r="G222" s="401"/>
      <c r="H222" s="401"/>
      <c r="I222" s="401"/>
      <c r="J222" s="401"/>
      <c r="K222" s="995"/>
      <c r="L222" s="401"/>
      <c r="M222" s="401"/>
      <c r="S222" s="306"/>
    </row>
    <row r="223" spans="3:19" ht="13.35" customHeight="1">
      <c r="C223" s="996"/>
      <c r="F223" s="401"/>
      <c r="G223" s="401"/>
      <c r="H223" s="401"/>
      <c r="I223" s="401"/>
      <c r="J223" s="401"/>
      <c r="K223" s="995"/>
      <c r="L223" s="401"/>
      <c r="M223" s="401"/>
      <c r="S223" s="306"/>
    </row>
    <row r="224" spans="3:19" ht="13.35" customHeight="1">
      <c r="C224" s="996"/>
      <c r="F224" s="401"/>
      <c r="G224" s="401"/>
      <c r="H224" s="401"/>
      <c r="I224" s="401"/>
      <c r="J224" s="401"/>
      <c r="K224" s="995"/>
      <c r="L224" s="401"/>
      <c r="M224" s="401"/>
      <c r="S224" s="306"/>
    </row>
    <row r="225" spans="3:19" ht="13.35" customHeight="1">
      <c r="C225" s="996"/>
      <c r="F225" s="401"/>
      <c r="G225" s="401"/>
      <c r="H225" s="401"/>
      <c r="I225" s="401"/>
      <c r="J225" s="401"/>
      <c r="K225" s="995"/>
      <c r="L225" s="401"/>
      <c r="M225" s="401"/>
      <c r="S225" s="306"/>
    </row>
    <row r="226" spans="3:19" ht="13.35" customHeight="1">
      <c r="C226" s="996"/>
      <c r="F226" s="401"/>
      <c r="G226" s="401"/>
      <c r="H226" s="401"/>
      <c r="I226" s="401"/>
      <c r="J226" s="401"/>
      <c r="K226" s="995"/>
      <c r="L226" s="401"/>
      <c r="M226" s="401"/>
      <c r="S226" s="306"/>
    </row>
    <row r="227" spans="3:19" ht="13.35" customHeight="1">
      <c r="C227" s="996"/>
      <c r="F227" s="401"/>
      <c r="G227" s="401"/>
      <c r="H227" s="401"/>
      <c r="I227" s="401"/>
      <c r="J227" s="401"/>
      <c r="K227" s="995"/>
      <c r="L227" s="401"/>
      <c r="M227" s="401"/>
      <c r="S227" s="306"/>
    </row>
    <row r="228" spans="3:19" ht="13.35" customHeight="1">
      <c r="C228" s="996"/>
      <c r="F228" s="401"/>
      <c r="G228" s="401"/>
      <c r="H228" s="401"/>
      <c r="I228" s="401"/>
      <c r="J228" s="401"/>
      <c r="K228" s="995"/>
      <c r="L228" s="401"/>
      <c r="M228" s="401"/>
      <c r="S228" s="306"/>
    </row>
    <row r="229" spans="3:19" ht="13.35" customHeight="1">
      <c r="C229" s="996"/>
      <c r="F229" s="401"/>
      <c r="G229" s="401"/>
      <c r="H229" s="401"/>
      <c r="I229" s="401"/>
      <c r="J229" s="401"/>
      <c r="K229" s="995"/>
      <c r="L229" s="401"/>
      <c r="M229" s="401"/>
      <c r="S229" s="306"/>
    </row>
    <row r="230" spans="3:19" ht="13.35" customHeight="1">
      <c r="C230" s="996"/>
      <c r="F230" s="401"/>
      <c r="G230" s="401"/>
      <c r="H230" s="401"/>
      <c r="I230" s="401"/>
      <c r="J230" s="401"/>
      <c r="K230" s="995"/>
      <c r="L230" s="401"/>
      <c r="M230" s="401"/>
      <c r="S230" s="306"/>
    </row>
    <row r="231" spans="3:19" ht="13.35" customHeight="1">
      <c r="C231" s="996"/>
      <c r="F231" s="401"/>
      <c r="G231" s="401"/>
      <c r="H231" s="401"/>
      <c r="I231" s="401"/>
      <c r="J231" s="401"/>
      <c r="K231" s="995"/>
      <c r="L231" s="401"/>
      <c r="M231" s="401"/>
      <c r="S231" s="306"/>
    </row>
    <row r="232" spans="3:19" ht="13.35" customHeight="1">
      <c r="C232" s="996"/>
      <c r="F232" s="401"/>
      <c r="G232" s="401"/>
      <c r="H232" s="401"/>
      <c r="I232" s="401"/>
      <c r="J232" s="401"/>
      <c r="K232" s="995"/>
      <c r="L232" s="401"/>
      <c r="M232" s="401"/>
      <c r="S232" s="306"/>
    </row>
    <row r="233" spans="3:19" ht="13.35" customHeight="1">
      <c r="C233" s="996"/>
      <c r="F233" s="401"/>
      <c r="G233" s="401"/>
      <c r="H233" s="401"/>
      <c r="I233" s="401"/>
      <c r="J233" s="401"/>
      <c r="K233" s="995"/>
      <c r="L233" s="401"/>
      <c r="M233" s="401"/>
      <c r="S233" s="306"/>
    </row>
    <row r="234" spans="3:19" ht="13.35" customHeight="1">
      <c r="C234" s="996"/>
      <c r="F234" s="401"/>
      <c r="G234" s="401"/>
      <c r="H234" s="401"/>
      <c r="I234" s="401"/>
      <c r="J234" s="401"/>
      <c r="K234" s="995"/>
      <c r="L234" s="401"/>
      <c r="M234" s="401"/>
      <c r="S234" s="306"/>
    </row>
    <row r="235" spans="3:19" ht="13.35" customHeight="1">
      <c r="C235" s="996"/>
      <c r="F235" s="401"/>
      <c r="G235" s="401"/>
      <c r="H235" s="401"/>
      <c r="I235" s="401"/>
      <c r="J235" s="401"/>
      <c r="K235" s="995"/>
      <c r="L235" s="401"/>
      <c r="M235" s="401"/>
      <c r="S235" s="306"/>
    </row>
    <row r="236" spans="3:19" ht="13.35" customHeight="1">
      <c r="C236" s="996"/>
      <c r="F236" s="401"/>
      <c r="G236" s="401"/>
      <c r="H236" s="401"/>
      <c r="I236" s="401"/>
      <c r="J236" s="401"/>
      <c r="K236" s="995"/>
      <c r="L236" s="401"/>
      <c r="M236" s="401"/>
      <c r="S236" s="306"/>
    </row>
    <row r="237" spans="3:19" ht="13.35" customHeight="1">
      <c r="C237" s="996"/>
      <c r="F237" s="401"/>
      <c r="G237" s="401"/>
      <c r="H237" s="401"/>
      <c r="I237" s="401"/>
      <c r="J237" s="401"/>
      <c r="K237" s="995"/>
      <c r="L237" s="401"/>
      <c r="M237" s="401"/>
      <c r="S237" s="306"/>
    </row>
    <row r="238" spans="3:19" ht="13.35" customHeight="1">
      <c r="C238" s="996"/>
      <c r="F238" s="401"/>
      <c r="G238" s="401"/>
      <c r="H238" s="401"/>
      <c r="I238" s="401"/>
      <c r="J238" s="401"/>
      <c r="K238" s="995"/>
      <c r="L238" s="401"/>
      <c r="M238" s="401"/>
      <c r="S238" s="306"/>
    </row>
    <row r="239" spans="3:19" ht="13.35" customHeight="1">
      <c r="C239" s="996"/>
      <c r="F239" s="401"/>
      <c r="G239" s="401"/>
      <c r="H239" s="401"/>
      <c r="I239" s="401"/>
      <c r="J239" s="401"/>
      <c r="K239" s="995"/>
      <c r="L239" s="401"/>
      <c r="M239" s="401"/>
      <c r="S239" s="306"/>
    </row>
    <row r="240" spans="3:19" ht="13.35" customHeight="1">
      <c r="C240" s="996"/>
      <c r="F240" s="401"/>
      <c r="G240" s="401"/>
      <c r="H240" s="401"/>
      <c r="I240" s="401"/>
      <c r="J240" s="401"/>
      <c r="K240" s="995"/>
      <c r="L240" s="401"/>
      <c r="M240" s="401"/>
      <c r="S240" s="306"/>
    </row>
    <row r="241" spans="3:19" ht="13.35" customHeight="1">
      <c r="C241" s="996"/>
      <c r="F241" s="401"/>
      <c r="G241" s="401"/>
      <c r="H241" s="401"/>
      <c r="I241" s="401"/>
      <c r="J241" s="401"/>
      <c r="K241" s="995"/>
      <c r="L241" s="401"/>
      <c r="M241" s="401"/>
      <c r="S241" s="306"/>
    </row>
    <row r="242" spans="3:19" ht="13.35" customHeight="1">
      <c r="C242" s="996"/>
      <c r="F242" s="401"/>
      <c r="G242" s="401"/>
      <c r="H242" s="401"/>
      <c r="I242" s="401"/>
      <c r="J242" s="401"/>
      <c r="K242" s="995"/>
      <c r="L242" s="401"/>
      <c r="M242" s="401"/>
      <c r="S242" s="306"/>
    </row>
    <row r="243" spans="3:19" ht="13.35" customHeight="1">
      <c r="C243" s="996"/>
      <c r="F243" s="401"/>
      <c r="G243" s="401"/>
      <c r="H243" s="401"/>
      <c r="I243" s="401"/>
      <c r="J243" s="401"/>
      <c r="K243" s="995"/>
      <c r="L243" s="401"/>
      <c r="M243" s="401"/>
      <c r="S243" s="306"/>
    </row>
    <row r="244" spans="3:19" ht="13.35" customHeight="1">
      <c r="C244" s="996"/>
      <c r="F244" s="401"/>
      <c r="G244" s="401"/>
      <c r="H244" s="401"/>
      <c r="I244" s="401"/>
      <c r="J244" s="401"/>
      <c r="K244" s="995"/>
      <c r="L244" s="401"/>
      <c r="M244" s="401"/>
      <c r="S244" s="306"/>
    </row>
    <row r="245" spans="3:19" ht="13.35" customHeight="1">
      <c r="C245" s="996"/>
      <c r="F245" s="401"/>
      <c r="G245" s="401"/>
      <c r="H245" s="401"/>
      <c r="I245" s="401"/>
      <c r="J245" s="401"/>
      <c r="K245" s="995"/>
      <c r="L245" s="401"/>
      <c r="M245" s="401"/>
      <c r="S245" s="306"/>
    </row>
    <row r="246" spans="3:19" ht="13.35" customHeight="1">
      <c r="C246" s="996"/>
      <c r="K246" s="442"/>
      <c r="S246" s="306"/>
    </row>
    <row r="247" spans="3:19" ht="13.35" customHeight="1">
      <c r="C247" s="996"/>
      <c r="K247" s="442"/>
      <c r="S247" s="306"/>
    </row>
    <row r="248" spans="3:19" ht="13.35" customHeight="1">
      <c r="C248" s="996"/>
      <c r="K248" s="442"/>
      <c r="S248" s="306"/>
    </row>
    <row r="249" spans="3:19" ht="13.35" customHeight="1">
      <c r="C249" s="996"/>
      <c r="K249" s="442"/>
      <c r="S249" s="306"/>
    </row>
    <row r="250" spans="3:19" ht="13.35" customHeight="1">
      <c r="C250" s="996"/>
      <c r="K250" s="442"/>
      <c r="S250" s="306"/>
    </row>
    <row r="251" spans="3:19" ht="13.35" customHeight="1">
      <c r="C251" s="996"/>
      <c r="K251" s="442"/>
      <c r="S251" s="306"/>
    </row>
    <row r="252" spans="3:19" ht="13.35" customHeight="1">
      <c r="C252" s="996"/>
      <c r="K252" s="442"/>
      <c r="S252" s="306"/>
    </row>
    <row r="253" spans="3:19" ht="13.35" customHeight="1">
      <c r="C253" s="996"/>
      <c r="K253" s="442"/>
      <c r="S253" s="306"/>
    </row>
    <row r="254" spans="3:19" ht="13.35" customHeight="1">
      <c r="C254" s="996"/>
      <c r="K254" s="442"/>
      <c r="S254" s="306"/>
    </row>
    <row r="255" spans="3:19" ht="13.35" customHeight="1">
      <c r="C255" s="996"/>
      <c r="K255" s="442"/>
      <c r="S255" s="306"/>
    </row>
    <row r="256" spans="3:19" ht="13.35" customHeight="1">
      <c r="C256" s="996"/>
      <c r="K256" s="442"/>
      <c r="S256" s="306"/>
    </row>
    <row r="257" spans="3:19" ht="13.35" customHeight="1">
      <c r="C257" s="996"/>
      <c r="K257" s="442"/>
      <c r="S257" s="306"/>
    </row>
    <row r="258" spans="3:19" ht="13.35" customHeight="1">
      <c r="C258" s="996"/>
      <c r="K258" s="442"/>
      <c r="S258" s="306"/>
    </row>
    <row r="259" spans="3:19" ht="13.35" customHeight="1">
      <c r="C259" s="996"/>
      <c r="K259" s="442"/>
      <c r="S259" s="306"/>
    </row>
    <row r="260" spans="3:19" ht="13.35" customHeight="1">
      <c r="C260" s="996"/>
      <c r="K260" s="442"/>
      <c r="S260" s="306"/>
    </row>
    <row r="261" spans="3:19" ht="13.35" customHeight="1">
      <c r="C261" s="996"/>
      <c r="K261" s="442"/>
      <c r="S261" s="306"/>
    </row>
    <row r="262" spans="3:19" ht="13.35" customHeight="1">
      <c r="C262" s="996"/>
      <c r="K262" s="442"/>
      <c r="S262" s="306"/>
    </row>
    <row r="263" spans="3:19" ht="13.35" customHeight="1">
      <c r="C263" s="996"/>
      <c r="K263" s="442"/>
      <c r="S263" s="306"/>
    </row>
    <row r="264" spans="3:19" ht="13.35" customHeight="1">
      <c r="C264" s="996"/>
      <c r="K264" s="442"/>
      <c r="S264" s="306"/>
    </row>
    <row r="265" spans="3:19" ht="13.35" customHeight="1">
      <c r="C265" s="996"/>
      <c r="K265" s="442"/>
      <c r="S265" s="306"/>
    </row>
    <row r="266" spans="3:19" ht="13.35" customHeight="1">
      <c r="C266" s="996"/>
      <c r="K266" s="442"/>
      <c r="S266" s="306"/>
    </row>
    <row r="267" spans="3:19" ht="13.35" customHeight="1">
      <c r="C267" s="996" t="s">
        <v>7021</v>
      </c>
      <c r="K267" s="442"/>
      <c r="S267" s="306"/>
    </row>
    <row r="268" spans="3:19" ht="13.35" customHeight="1">
      <c r="C268" s="996"/>
      <c r="K268" s="442"/>
      <c r="S268" s="306"/>
    </row>
    <row r="269" spans="3:19" ht="13.35" customHeight="1">
      <c r="C269" s="996"/>
      <c r="K269" s="442"/>
      <c r="S269" s="306"/>
    </row>
    <row r="270" spans="3:19" ht="13.35" customHeight="1">
      <c r="C270" s="996"/>
      <c r="K270" s="442"/>
      <c r="S270" s="306"/>
    </row>
    <row r="271" spans="3:19" ht="13.35" customHeight="1">
      <c r="C271" s="996"/>
      <c r="K271" s="442"/>
      <c r="S271" s="306"/>
    </row>
    <row r="272" spans="3:19" ht="13.35" customHeight="1">
      <c r="C272" s="996"/>
      <c r="K272" s="442"/>
      <c r="S272" s="306"/>
    </row>
    <row r="273" spans="3:19" ht="13.35" customHeight="1">
      <c r="C273" s="996"/>
      <c r="K273" s="442"/>
      <c r="S273" s="306"/>
    </row>
    <row r="274" spans="3:19" ht="13.35" customHeight="1">
      <c r="C274" s="996"/>
      <c r="K274" s="442"/>
      <c r="S274" s="306"/>
    </row>
    <row r="275" spans="3:19" ht="13.35" customHeight="1">
      <c r="C275" s="996"/>
      <c r="K275" s="442"/>
      <c r="S275" s="306"/>
    </row>
    <row r="276" spans="3:19" ht="13.35" customHeight="1">
      <c r="C276" s="996"/>
      <c r="K276" s="442"/>
      <c r="S276" s="306"/>
    </row>
    <row r="277" spans="3:19" ht="13.35" customHeight="1">
      <c r="C277" s="996"/>
      <c r="K277" s="442"/>
      <c r="S277" s="306"/>
    </row>
    <row r="278" spans="3:19" ht="13.35" customHeight="1">
      <c r="C278" s="996"/>
      <c r="K278" s="442"/>
      <c r="S278" s="306"/>
    </row>
    <row r="279" spans="3:19" ht="13.35" customHeight="1">
      <c r="C279" s="996"/>
      <c r="K279" s="442"/>
      <c r="S279" s="306"/>
    </row>
    <row r="280" spans="3:19" ht="13.35" customHeight="1">
      <c r="C280" s="996"/>
      <c r="K280" s="442"/>
      <c r="S280" s="306"/>
    </row>
    <row r="281" spans="3:19" ht="13.35" customHeight="1">
      <c r="C281" s="996"/>
      <c r="K281" s="442"/>
      <c r="S281" s="306"/>
    </row>
    <row r="282" spans="3:19" ht="13.35" customHeight="1">
      <c r="C282" s="996"/>
      <c r="K282" s="442"/>
      <c r="S282" s="306"/>
    </row>
    <row r="283" spans="3:19" ht="13.35" customHeight="1">
      <c r="C283" s="996"/>
      <c r="K283" s="442"/>
      <c r="S283" s="306"/>
    </row>
    <row r="284" spans="3:19" ht="13.35" customHeight="1">
      <c r="C284" s="996"/>
      <c r="K284" s="442"/>
      <c r="S284" s="306"/>
    </row>
    <row r="285" spans="3:19" ht="13.35" customHeight="1">
      <c r="C285" s="996"/>
      <c r="K285" s="442"/>
      <c r="S285" s="306"/>
    </row>
    <row r="286" spans="3:19" ht="13.35" customHeight="1">
      <c r="C286" s="996"/>
      <c r="K286" s="442"/>
      <c r="S286" s="306"/>
    </row>
    <row r="287" spans="3:19" ht="13.35" customHeight="1">
      <c r="C287" s="996"/>
      <c r="K287" s="442"/>
      <c r="S287" s="306"/>
    </row>
    <row r="288" spans="3:19" ht="13.35" customHeight="1">
      <c r="C288" s="996"/>
      <c r="K288" s="442"/>
      <c r="S288" s="306"/>
    </row>
    <row r="289" spans="3:19" ht="13.35" customHeight="1">
      <c r="C289" s="996"/>
      <c r="K289" s="442"/>
      <c r="S289" s="306"/>
    </row>
    <row r="290" spans="3:19" ht="13.35" customHeight="1">
      <c r="C290" s="996"/>
      <c r="K290" s="442"/>
      <c r="S290" s="306"/>
    </row>
    <row r="291" spans="3:19" ht="13.35" customHeight="1">
      <c r="C291" s="996"/>
      <c r="K291" s="442"/>
      <c r="S291" s="306"/>
    </row>
    <row r="292" spans="3:19" ht="13.35" customHeight="1">
      <c r="C292" s="996"/>
      <c r="K292" s="442"/>
      <c r="S292" s="306"/>
    </row>
    <row r="293" spans="3:19" ht="13.35" customHeight="1">
      <c r="C293" s="996"/>
      <c r="K293" s="442"/>
      <c r="S293" s="306"/>
    </row>
    <row r="294" spans="3:19" ht="13.35" customHeight="1">
      <c r="C294" s="996"/>
      <c r="K294" s="442"/>
      <c r="S294" s="306"/>
    </row>
    <row r="295" spans="3:19" ht="13.35" customHeight="1">
      <c r="C295" s="996"/>
      <c r="K295" s="442"/>
      <c r="S295" s="306"/>
    </row>
    <row r="296" spans="3:19" ht="13.35" customHeight="1">
      <c r="C296" s="996"/>
      <c r="K296" s="442"/>
      <c r="S296" s="306"/>
    </row>
    <row r="297" spans="3:19" ht="13.35" customHeight="1">
      <c r="C297" s="996"/>
      <c r="K297" s="442"/>
      <c r="S297" s="306"/>
    </row>
    <row r="298" spans="3:19" ht="13.35" customHeight="1">
      <c r="C298" s="996"/>
      <c r="K298" s="442"/>
      <c r="S298" s="306"/>
    </row>
    <row r="299" spans="3:19" ht="13.35" customHeight="1">
      <c r="C299" s="996"/>
      <c r="K299" s="442"/>
      <c r="S299" s="306"/>
    </row>
    <row r="300" spans="3:19" ht="13.35" customHeight="1">
      <c r="C300" s="996"/>
      <c r="K300" s="442"/>
      <c r="S300" s="306"/>
    </row>
    <row r="301" spans="3:19" ht="13.35" customHeight="1">
      <c r="C301" s="996"/>
      <c r="K301" s="442"/>
      <c r="S301" s="306"/>
    </row>
    <row r="302" spans="3:19" ht="13.35" customHeight="1">
      <c r="C302" s="996"/>
      <c r="K302" s="442"/>
      <c r="S302" s="306"/>
    </row>
    <row r="303" spans="3:19" ht="13.35" customHeight="1">
      <c r="C303" s="996"/>
      <c r="K303" s="442"/>
      <c r="S303" s="306"/>
    </row>
    <row r="304" spans="3:19" ht="13.35" customHeight="1">
      <c r="C304" s="996"/>
      <c r="K304" s="442"/>
      <c r="S304" s="306"/>
    </row>
    <row r="305" spans="3:19" ht="13.35" customHeight="1">
      <c r="C305" s="996"/>
      <c r="K305" s="442"/>
      <c r="S305" s="306"/>
    </row>
    <row r="306" spans="3:19" ht="13.35" customHeight="1">
      <c r="C306" s="996"/>
      <c r="K306" s="442"/>
      <c r="S306" s="306"/>
    </row>
    <row r="307" spans="3:19" ht="13.35" customHeight="1">
      <c r="C307" s="996"/>
      <c r="K307" s="442"/>
      <c r="S307" s="306"/>
    </row>
    <row r="308" spans="3:19" ht="13.35" customHeight="1">
      <c r="C308" s="996"/>
      <c r="K308" s="442"/>
      <c r="S308" s="306"/>
    </row>
    <row r="309" spans="3:19" ht="13.35" customHeight="1">
      <c r="C309" s="996"/>
      <c r="K309" s="442"/>
      <c r="S309" s="306"/>
    </row>
    <row r="310" spans="3:19" ht="13.35" customHeight="1">
      <c r="C310" s="996"/>
      <c r="K310" s="442"/>
      <c r="S310" s="306"/>
    </row>
    <row r="311" spans="3:19" ht="13.35" customHeight="1">
      <c r="C311" s="996"/>
      <c r="K311" s="442"/>
      <c r="S311" s="306"/>
    </row>
    <row r="312" spans="3:19" ht="13.35" customHeight="1">
      <c r="C312" s="996"/>
      <c r="K312" s="442"/>
      <c r="S312" s="306"/>
    </row>
    <row r="313" spans="3:19" ht="13.35" customHeight="1">
      <c r="C313" s="996"/>
      <c r="K313" s="442"/>
      <c r="S313" s="306"/>
    </row>
    <row r="314" spans="3:19" ht="13.35" customHeight="1">
      <c r="C314" s="996"/>
      <c r="K314" s="442"/>
      <c r="S314" s="306"/>
    </row>
    <row r="315" spans="3:19" ht="13.35" customHeight="1">
      <c r="C315" s="996"/>
      <c r="K315" s="442"/>
      <c r="S315" s="306"/>
    </row>
    <row r="316" spans="3:19" ht="13.35" customHeight="1">
      <c r="C316" s="996"/>
      <c r="K316" s="442"/>
      <c r="S316" s="306"/>
    </row>
    <row r="317" spans="3:19" ht="13.35" customHeight="1">
      <c r="C317" s="996"/>
      <c r="K317" s="442"/>
      <c r="S317" s="306"/>
    </row>
    <row r="318" spans="3:19" ht="13.35" customHeight="1">
      <c r="C318" s="996"/>
      <c r="K318" s="442"/>
      <c r="S318" s="306"/>
    </row>
    <row r="319" spans="3:19" ht="13.35" customHeight="1">
      <c r="C319" s="996"/>
      <c r="K319" s="442"/>
      <c r="S319" s="306"/>
    </row>
    <row r="320" spans="3:19" ht="13.35" customHeight="1">
      <c r="C320" s="996"/>
      <c r="K320" s="442"/>
      <c r="S320" s="306"/>
    </row>
    <row r="321" spans="3:19" ht="13.35" customHeight="1">
      <c r="C321" s="996"/>
      <c r="K321" s="442"/>
      <c r="S321" s="306"/>
    </row>
    <row r="322" spans="3:19" ht="13.35" customHeight="1">
      <c r="C322" s="996"/>
      <c r="K322" s="442"/>
      <c r="S322" s="306"/>
    </row>
    <row r="323" spans="3:19" ht="13.35" customHeight="1">
      <c r="C323" s="996"/>
      <c r="K323" s="442"/>
      <c r="S323" s="306"/>
    </row>
    <row r="324" spans="3:19" ht="13.35" customHeight="1">
      <c r="C324" s="996"/>
      <c r="K324" s="442"/>
      <c r="S324" s="306"/>
    </row>
    <row r="325" spans="3:19" ht="13.35" customHeight="1">
      <c r="C325" s="996"/>
      <c r="K325" s="442"/>
      <c r="S325" s="306"/>
    </row>
    <row r="326" spans="3:19" ht="13.35" customHeight="1">
      <c r="C326" s="996"/>
      <c r="K326" s="442"/>
      <c r="S326" s="306"/>
    </row>
    <row r="327" spans="3:19" ht="13.35" customHeight="1">
      <c r="C327" s="996"/>
      <c r="K327" s="442"/>
      <c r="S327" s="306"/>
    </row>
    <row r="328" spans="3:19" ht="13.35" customHeight="1">
      <c r="C328" s="996"/>
      <c r="K328" s="442"/>
      <c r="S328" s="306"/>
    </row>
    <row r="329" spans="3:19" ht="13.35" customHeight="1">
      <c r="C329" s="996"/>
      <c r="K329" s="442"/>
      <c r="S329" s="306"/>
    </row>
    <row r="330" spans="3:19" ht="13.35" customHeight="1">
      <c r="C330" s="996"/>
      <c r="K330" s="442"/>
      <c r="S330" s="306"/>
    </row>
    <row r="331" spans="3:19" ht="13.35" customHeight="1">
      <c r="C331" s="996"/>
      <c r="K331" s="442"/>
      <c r="S331" s="306"/>
    </row>
    <row r="332" spans="3:19" ht="13.35" customHeight="1">
      <c r="C332" s="996"/>
      <c r="K332" s="442"/>
      <c r="S332" s="306"/>
    </row>
    <row r="333" spans="3:19" ht="13.35" customHeight="1">
      <c r="C333" s="996"/>
      <c r="K333" s="442"/>
      <c r="S333" s="306"/>
    </row>
    <row r="334" spans="3:19" ht="13.35" customHeight="1">
      <c r="C334" s="996"/>
      <c r="K334" s="442"/>
      <c r="S334" s="306"/>
    </row>
    <row r="335" spans="3:19" ht="13.35" customHeight="1">
      <c r="C335" s="996"/>
      <c r="K335" s="442"/>
      <c r="S335" s="306"/>
    </row>
    <row r="336" spans="3:19" ht="13.35" customHeight="1">
      <c r="C336" s="996"/>
      <c r="K336" s="442"/>
      <c r="S336" s="306"/>
    </row>
    <row r="337" spans="3:19" ht="13.35" customHeight="1">
      <c r="C337" s="996"/>
      <c r="K337" s="442"/>
      <c r="S337" s="306"/>
    </row>
    <row r="338" spans="3:19" ht="13.35" customHeight="1">
      <c r="C338" s="996"/>
      <c r="K338" s="442"/>
      <c r="S338" s="306"/>
    </row>
    <row r="339" spans="3:19" ht="13.35" customHeight="1">
      <c r="C339" s="996"/>
      <c r="K339" s="442"/>
      <c r="S339" s="306"/>
    </row>
    <row r="340" spans="3:19" ht="13.35" customHeight="1">
      <c r="C340" s="996"/>
      <c r="K340" s="442"/>
      <c r="S340" s="306"/>
    </row>
    <row r="341" spans="3:19" ht="13.35" customHeight="1">
      <c r="C341" s="996"/>
      <c r="K341" s="442"/>
      <c r="S341" s="306"/>
    </row>
    <row r="342" spans="3:19" ht="13.35" customHeight="1">
      <c r="C342" s="996"/>
      <c r="K342" s="442"/>
      <c r="S342" s="306"/>
    </row>
    <row r="343" spans="3:19" ht="13.35" customHeight="1">
      <c r="C343" s="996"/>
      <c r="K343" s="442"/>
      <c r="S343" s="306"/>
    </row>
    <row r="344" spans="3:19" ht="13.35" customHeight="1">
      <c r="C344" s="996"/>
      <c r="K344" s="442"/>
      <c r="S344" s="306"/>
    </row>
    <row r="345" spans="3:19" ht="13.35" customHeight="1">
      <c r="C345" s="996"/>
      <c r="K345" s="442"/>
      <c r="S345" s="306"/>
    </row>
    <row r="346" spans="3:19" ht="13.35" customHeight="1">
      <c r="C346" s="996" t="s">
        <v>7021</v>
      </c>
      <c r="K346" s="442"/>
      <c r="S346" s="306"/>
    </row>
    <row r="347" spans="3:19" ht="13.35" customHeight="1">
      <c r="C347" s="996"/>
      <c r="K347" s="442"/>
      <c r="S347" s="306"/>
    </row>
    <row r="348" spans="3:19" ht="13.35" customHeight="1">
      <c r="C348" s="996"/>
      <c r="K348" s="442"/>
      <c r="S348" s="306"/>
    </row>
    <row r="349" spans="3:19" ht="13.35" customHeight="1">
      <c r="C349" s="996"/>
      <c r="K349" s="442"/>
      <c r="S349" s="306"/>
    </row>
    <row r="350" spans="3:19" ht="13.35" customHeight="1">
      <c r="C350" s="996"/>
      <c r="K350" s="442"/>
      <c r="S350" s="306"/>
    </row>
    <row r="351" spans="3:19" ht="13.35" customHeight="1">
      <c r="C351" s="996"/>
      <c r="K351" s="442"/>
      <c r="S351" s="306"/>
    </row>
    <row r="352" spans="3:19" ht="13.35" customHeight="1">
      <c r="C352" s="996"/>
      <c r="K352" s="442"/>
      <c r="S352" s="306"/>
    </row>
    <row r="353" spans="3:19" ht="13.35" customHeight="1">
      <c r="C353" s="996"/>
      <c r="K353" s="442"/>
      <c r="S353" s="306"/>
    </row>
    <row r="354" spans="3:19" ht="13.35" customHeight="1">
      <c r="C354" s="996"/>
      <c r="K354" s="442"/>
      <c r="S354" s="306"/>
    </row>
    <row r="355" spans="3:19" ht="13.35" customHeight="1">
      <c r="C355" s="996"/>
      <c r="K355" s="442"/>
      <c r="S355" s="306"/>
    </row>
    <row r="356" spans="3:19" ht="13.35" customHeight="1">
      <c r="C356" s="996"/>
      <c r="K356" s="442"/>
      <c r="S356" s="306"/>
    </row>
    <row r="357" spans="3:19" ht="13.35" customHeight="1">
      <c r="C357" s="996"/>
      <c r="K357" s="442"/>
      <c r="S357" s="306"/>
    </row>
    <row r="358" spans="3:19" ht="13.35" customHeight="1">
      <c r="C358" s="996"/>
      <c r="K358" s="442"/>
      <c r="S358" s="306"/>
    </row>
    <row r="359" spans="3:19" ht="13.35" customHeight="1">
      <c r="C359" s="996"/>
      <c r="K359" s="442"/>
      <c r="S359" s="306"/>
    </row>
    <row r="360" spans="3:19" ht="13.35" customHeight="1">
      <c r="C360" s="996"/>
      <c r="K360" s="442"/>
      <c r="S360" s="306"/>
    </row>
    <row r="361" spans="3:19" ht="13.35" customHeight="1">
      <c r="C361" s="996"/>
      <c r="K361" s="442"/>
      <c r="S361" s="306"/>
    </row>
    <row r="362" spans="3:19" ht="13.35" customHeight="1">
      <c r="C362" s="996"/>
      <c r="K362" s="442"/>
      <c r="S362" s="306"/>
    </row>
    <row r="363" spans="3:19" ht="13.35" customHeight="1">
      <c r="C363" s="996"/>
      <c r="K363" s="442"/>
      <c r="S363" s="306"/>
    </row>
    <row r="364" spans="3:19" ht="13.35" customHeight="1">
      <c r="C364" s="996"/>
      <c r="K364" s="442"/>
      <c r="S364" s="306"/>
    </row>
    <row r="365" spans="3:19" ht="13.35" customHeight="1">
      <c r="C365" s="996"/>
      <c r="K365" s="442"/>
      <c r="S365" s="306"/>
    </row>
    <row r="366" spans="3:19" ht="13.35" customHeight="1">
      <c r="C366" s="996"/>
      <c r="K366" s="442"/>
      <c r="S366" s="306"/>
    </row>
    <row r="367" spans="3:19" ht="13.35" customHeight="1">
      <c r="C367" s="996"/>
      <c r="K367" s="442"/>
      <c r="S367" s="306"/>
    </row>
    <row r="368" spans="3:19" ht="13.35" customHeight="1">
      <c r="C368" s="996"/>
      <c r="K368" s="442"/>
      <c r="S368" s="306"/>
    </row>
    <row r="369" spans="3:19" ht="13.35" customHeight="1">
      <c r="C369" s="996"/>
      <c r="K369" s="442"/>
      <c r="S369" s="306"/>
    </row>
    <row r="370" spans="3:19" ht="13.35" customHeight="1">
      <c r="C370" s="996"/>
      <c r="K370" s="442"/>
      <c r="S370" s="306"/>
    </row>
    <row r="371" spans="3:19" ht="13.35" customHeight="1">
      <c r="C371" s="996"/>
      <c r="K371" s="442"/>
      <c r="S371" s="306"/>
    </row>
    <row r="372" spans="3:19" ht="13.35" customHeight="1">
      <c r="C372" s="996"/>
      <c r="K372" s="442"/>
      <c r="S372" s="306"/>
    </row>
    <row r="373" spans="3:19" ht="13.35" customHeight="1">
      <c r="C373" s="996"/>
      <c r="K373" s="442"/>
      <c r="S373" s="306"/>
    </row>
    <row r="374" spans="3:19" ht="13.35" customHeight="1">
      <c r="C374" s="996"/>
      <c r="K374" s="442"/>
      <c r="S374" s="306"/>
    </row>
    <row r="375" spans="3:19" ht="13.35" customHeight="1">
      <c r="C375" s="996"/>
      <c r="K375" s="442"/>
      <c r="S375" s="306"/>
    </row>
    <row r="376" spans="3:19" ht="13.35" customHeight="1">
      <c r="C376" s="996"/>
      <c r="K376" s="442"/>
      <c r="S376" s="306"/>
    </row>
    <row r="377" spans="3:19" ht="13.35" customHeight="1">
      <c r="C377" s="996"/>
      <c r="K377" s="442"/>
      <c r="S377" s="306"/>
    </row>
    <row r="378" spans="3:19" ht="13.35" customHeight="1">
      <c r="C378" s="996"/>
      <c r="K378" s="442"/>
      <c r="S378" s="306"/>
    </row>
    <row r="379" spans="3:19" ht="13.35" customHeight="1">
      <c r="C379" s="996"/>
      <c r="K379" s="442"/>
      <c r="S379" s="306"/>
    </row>
    <row r="380" spans="3:19" ht="13.35" customHeight="1">
      <c r="C380" s="996"/>
      <c r="K380" s="442"/>
      <c r="S380" s="306"/>
    </row>
    <row r="381" spans="3:19" ht="13.35" customHeight="1">
      <c r="C381" s="996"/>
      <c r="K381" s="442"/>
      <c r="S381" s="306"/>
    </row>
    <row r="382" spans="3:19" ht="13.35" customHeight="1">
      <c r="C382" s="996"/>
      <c r="K382" s="442"/>
      <c r="S382" s="306"/>
    </row>
    <row r="383" spans="3:19" ht="13.35" customHeight="1">
      <c r="C383" s="996"/>
      <c r="K383" s="442"/>
      <c r="S383" s="306"/>
    </row>
    <row r="384" spans="3:19" ht="13.35" customHeight="1">
      <c r="C384" s="996"/>
      <c r="K384" s="442"/>
      <c r="S384" s="306"/>
    </row>
    <row r="385" spans="3:19" ht="13.35" customHeight="1">
      <c r="C385" s="996"/>
      <c r="K385" s="442"/>
      <c r="S385" s="306"/>
    </row>
    <row r="386" spans="3:19" ht="13.35" customHeight="1">
      <c r="C386" s="996"/>
      <c r="K386" s="442"/>
      <c r="S386" s="306"/>
    </row>
    <row r="387" spans="3:19" ht="13.35" customHeight="1">
      <c r="C387" s="996"/>
      <c r="K387" s="442"/>
      <c r="S387" s="306"/>
    </row>
    <row r="388" spans="3:19" ht="13.35" customHeight="1">
      <c r="C388" s="996"/>
      <c r="K388" s="442"/>
      <c r="S388" s="306"/>
    </row>
    <row r="389" spans="3:19" ht="13.35" customHeight="1">
      <c r="C389" s="996"/>
      <c r="K389" s="442"/>
      <c r="S389" s="306"/>
    </row>
    <row r="390" spans="3:19" ht="13.35" customHeight="1">
      <c r="C390" s="996"/>
      <c r="K390" s="442"/>
      <c r="S390" s="306"/>
    </row>
    <row r="391" spans="3:19" ht="13.35" customHeight="1">
      <c r="C391" s="996"/>
      <c r="K391" s="442"/>
      <c r="S391" s="306"/>
    </row>
    <row r="392" spans="3:19" ht="13.35" customHeight="1">
      <c r="C392" s="996"/>
      <c r="K392" s="442"/>
      <c r="S392" s="306"/>
    </row>
    <row r="393" spans="3:19" ht="13.35" customHeight="1">
      <c r="C393" s="996"/>
      <c r="K393" s="442"/>
      <c r="S393" s="306"/>
    </row>
    <row r="394" spans="3:19" ht="13.35" customHeight="1">
      <c r="C394" s="996"/>
      <c r="K394" s="442"/>
      <c r="S394" s="306"/>
    </row>
    <row r="395" spans="3:19" ht="13.35" customHeight="1">
      <c r="C395" s="996"/>
      <c r="K395" s="442"/>
      <c r="S395" s="306"/>
    </row>
    <row r="396" spans="3:19" ht="13.35" customHeight="1">
      <c r="C396" s="996"/>
      <c r="K396" s="442"/>
      <c r="S396" s="306"/>
    </row>
    <row r="397" spans="3:19" ht="13.35" customHeight="1">
      <c r="C397" s="996"/>
      <c r="K397" s="442"/>
      <c r="S397" s="306"/>
    </row>
    <row r="398" spans="3:19" ht="13.35" customHeight="1">
      <c r="C398" s="996"/>
      <c r="K398" s="442"/>
      <c r="S398" s="306"/>
    </row>
    <row r="399" spans="3:19" ht="13.35" customHeight="1">
      <c r="C399" s="996"/>
      <c r="K399" s="442"/>
      <c r="S399" s="306"/>
    </row>
    <row r="400" spans="3:19" ht="13.35" customHeight="1">
      <c r="C400" s="996"/>
      <c r="K400" s="442"/>
      <c r="S400" s="306"/>
    </row>
    <row r="401" spans="3:19" ht="13.35" customHeight="1">
      <c r="C401" s="996"/>
      <c r="K401" s="442"/>
      <c r="S401" s="306"/>
    </row>
    <row r="402" spans="3:19" ht="13.35" customHeight="1">
      <c r="C402" s="996"/>
      <c r="K402" s="442"/>
      <c r="S402" s="306"/>
    </row>
    <row r="403" spans="3:19" ht="13.35" customHeight="1">
      <c r="C403" s="996"/>
      <c r="K403" s="442"/>
      <c r="S403" s="306"/>
    </row>
    <row r="404" spans="3:19" ht="13.35" customHeight="1">
      <c r="C404" s="996"/>
      <c r="K404" s="442"/>
      <c r="S404" s="306"/>
    </row>
    <row r="405" spans="3:19" ht="13.35" customHeight="1">
      <c r="C405" s="996"/>
      <c r="K405" s="442"/>
      <c r="S405" s="306"/>
    </row>
    <row r="406" spans="3:19" ht="13.35" customHeight="1">
      <c r="C406" s="996"/>
      <c r="K406" s="442"/>
      <c r="S406" s="306"/>
    </row>
    <row r="407" spans="3:19" ht="13.35" customHeight="1">
      <c r="C407" s="996"/>
      <c r="K407" s="442"/>
      <c r="S407" s="306"/>
    </row>
    <row r="408" spans="3:19" ht="13.35" customHeight="1">
      <c r="C408" s="996"/>
      <c r="K408" s="442"/>
      <c r="S408" s="306"/>
    </row>
    <row r="409" spans="3:19" ht="13.35" customHeight="1">
      <c r="C409" s="996"/>
      <c r="K409" s="442"/>
      <c r="S409" s="306"/>
    </row>
    <row r="410" spans="3:19" ht="13.35" customHeight="1">
      <c r="C410" s="996"/>
      <c r="K410" s="442"/>
      <c r="S410" s="306"/>
    </row>
    <row r="411" spans="3:19" ht="13.35" customHeight="1">
      <c r="C411" s="996"/>
      <c r="K411" s="442"/>
      <c r="S411" s="306"/>
    </row>
    <row r="412" spans="3:19" ht="13.35" customHeight="1">
      <c r="C412" s="996"/>
      <c r="K412" s="442"/>
      <c r="S412" s="306"/>
    </row>
    <row r="413" spans="3:19" ht="13.35" customHeight="1">
      <c r="C413" s="996"/>
      <c r="K413" s="442"/>
      <c r="S413" s="306"/>
    </row>
    <row r="414" spans="3:19" ht="13.35" customHeight="1">
      <c r="C414" s="996"/>
      <c r="K414" s="442"/>
      <c r="S414" s="306"/>
    </row>
    <row r="415" spans="3:19" ht="13.35" customHeight="1">
      <c r="C415" s="996"/>
      <c r="K415" s="442"/>
      <c r="S415" s="306"/>
    </row>
    <row r="416" spans="3:19" ht="13.35" customHeight="1">
      <c r="C416" s="996"/>
      <c r="K416" s="442"/>
      <c r="S416" s="306"/>
    </row>
    <row r="417" spans="3:19" ht="13.35" customHeight="1">
      <c r="C417" s="996"/>
      <c r="K417" s="442"/>
      <c r="S417" s="306"/>
    </row>
    <row r="418" spans="3:19" ht="13.35" customHeight="1">
      <c r="C418" s="996"/>
      <c r="K418" s="442"/>
      <c r="S418" s="306"/>
    </row>
    <row r="419" spans="3:19" ht="13.35" customHeight="1">
      <c r="C419" s="996"/>
      <c r="K419" s="442"/>
      <c r="S419" s="306"/>
    </row>
    <row r="420" spans="3:19" ht="13.35" customHeight="1">
      <c r="C420" s="996"/>
      <c r="K420" s="442"/>
      <c r="S420" s="306"/>
    </row>
    <row r="421" spans="3:19" ht="13.35" customHeight="1">
      <c r="C421" s="996"/>
      <c r="K421" s="442"/>
      <c r="S421" s="306"/>
    </row>
    <row r="422" spans="3:19" ht="13.35" customHeight="1">
      <c r="C422" s="996"/>
      <c r="K422" s="442"/>
      <c r="S422" s="306"/>
    </row>
    <row r="423" spans="3:19" ht="13.35" customHeight="1">
      <c r="C423" s="996"/>
      <c r="K423" s="442"/>
      <c r="S423" s="306"/>
    </row>
    <row r="424" spans="3:19" ht="13.35" customHeight="1">
      <c r="C424" s="996"/>
      <c r="K424" s="442"/>
      <c r="S424" s="306"/>
    </row>
    <row r="425" spans="3:19" ht="13.35" customHeight="1">
      <c r="C425" s="996" t="s">
        <v>7021</v>
      </c>
      <c r="K425" s="442"/>
      <c r="S425" s="306"/>
    </row>
    <row r="426" spans="3:19" ht="13.35" customHeight="1">
      <c r="C426" s="996"/>
      <c r="K426" s="442"/>
      <c r="S426" s="306"/>
    </row>
    <row r="427" spans="3:19" ht="13.35" customHeight="1">
      <c r="C427" s="996"/>
      <c r="K427" s="442"/>
      <c r="S427" s="306"/>
    </row>
    <row r="428" spans="3:19" ht="13.35"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54:L54"/>
    <mergeCell ref="H55:L55"/>
    <mergeCell ref="H56:L56"/>
    <mergeCell ref="H57:L57"/>
    <mergeCell ref="H58:L58"/>
    <mergeCell ref="H59:L59"/>
    <mergeCell ref="E59:F59"/>
    <mergeCell ref="E60:F60"/>
    <mergeCell ref="E61:F61"/>
    <mergeCell ref="H65:L65"/>
    <mergeCell ref="E50:F50"/>
    <mergeCell ref="E51:F51"/>
    <mergeCell ref="E52:F52"/>
    <mergeCell ref="E53:F53"/>
    <mergeCell ref="E62:F62"/>
    <mergeCell ref="E58:F58"/>
    <mergeCell ref="A23:M23"/>
    <mergeCell ref="B34:B38"/>
    <mergeCell ref="E34:L34"/>
    <mergeCell ref="C35:C38"/>
    <mergeCell ref="D35:D38"/>
    <mergeCell ref="E35:F38"/>
    <mergeCell ref="G35:G38"/>
    <mergeCell ref="H35:L35"/>
    <mergeCell ref="A36:A38"/>
    <mergeCell ref="H36:I38"/>
    <mergeCell ref="J36:J38"/>
    <mergeCell ref="K36:L38"/>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L16:M16"/>
    <mergeCell ref="L18:M18"/>
    <mergeCell ref="B19:H19"/>
    <mergeCell ref="C7:M7"/>
    <mergeCell ref="A4:K4"/>
    <mergeCell ref="L4:M4"/>
    <mergeCell ref="L11:M11"/>
    <mergeCell ref="L13:M13"/>
    <mergeCell ref="B11:K11"/>
    <mergeCell ref="B13:K13"/>
    <mergeCell ref="B14:H14"/>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140625" defaultRowHeight="12.75"/>
  <cols>
    <col min="1" max="8" width="9.140625" style="251" bestFit="1" customWidth="1"/>
    <col min="9" max="9" width="14.42578125" style="251" bestFit="1" customWidth="1"/>
    <col min="10" max="10" width="9.140625" style="251" bestFit="1" customWidth="1"/>
    <col min="11" max="11" width="9.42578125" style="251" bestFit="1" customWidth="1"/>
    <col min="12" max="15" width="9.140625" style="251" bestFit="1" customWidth="1"/>
    <col min="16" max="16" width="9.5703125" style="251" bestFit="1" customWidth="1"/>
    <col min="17" max="21" width="9.140625" style="251" bestFit="1" customWidth="1"/>
    <col min="22" max="22" width="9.5703125" style="251" customWidth="1"/>
    <col min="23" max="23" width="9.140625" style="251" bestFit="1" customWidth="1"/>
    <col min="24" max="24" width="11.42578125" style="251" customWidth="1"/>
    <col min="25" max="394" width="9.140625" style="251" bestFit="1" customWidth="1"/>
    <col min="395" max="415" width="9.140625" style="251"/>
    <col min="416" max="416" width="9.140625" style="251" bestFit="1" customWidth="1"/>
    <col min="417" max="16384" width="9.140625" style="251"/>
  </cols>
  <sheetData>
    <row r="1" spans="1:16">
      <c r="A1" s="1815" t="str">
        <f>CONCATENATE("Part I-Project Identification"," - ",$O$7," ",$F$26,", ",$F$27,", ",J26," County")</f>
        <v>Part I-Project Identification -  Jonesboro, Unincorporated County, Clayton County</v>
      </c>
      <c r="B1" s="1815"/>
      <c r="C1" s="1815"/>
      <c r="D1" s="1815"/>
      <c r="E1" s="1815"/>
      <c r="F1" s="1815"/>
      <c r="G1" s="1815"/>
      <c r="H1" s="1815"/>
      <c r="I1" s="1815"/>
      <c r="J1" s="1815"/>
      <c r="K1" s="1815"/>
      <c r="L1" s="1815"/>
      <c r="M1" s="1815"/>
      <c r="N1" s="1815"/>
      <c r="O1" s="1815"/>
      <c r="P1" s="1815"/>
    </row>
    <row r="2" spans="1:16">
      <c r="A2" s="1816"/>
      <c r="B2" s="1816"/>
      <c r="C2" s="1816"/>
      <c r="D2" s="1816"/>
      <c r="E2" s="1816"/>
      <c r="F2" s="1816"/>
      <c r="G2" s="1816"/>
      <c r="H2" s="1816"/>
      <c r="I2" s="1816"/>
      <c r="J2" s="1816"/>
      <c r="K2" s="1816"/>
      <c r="L2" s="1816"/>
      <c r="M2" s="1816"/>
      <c r="N2" s="1816"/>
      <c r="O2" s="1816"/>
      <c r="P2" s="1816"/>
    </row>
    <row r="3" spans="1:16" ht="12.75" customHeight="1">
      <c r="A3" s="1815" t="s">
        <v>7509</v>
      </c>
      <c r="B3" s="1815"/>
      <c r="C3" s="1815"/>
      <c r="D3" s="1815"/>
      <c r="E3" s="1815"/>
      <c r="F3" s="1815"/>
      <c r="G3" s="1815"/>
      <c r="H3" s="1815"/>
      <c r="I3" s="1815"/>
      <c r="J3" s="1815"/>
      <c r="K3" s="1815"/>
      <c r="L3" s="1815"/>
      <c r="M3" s="1815"/>
      <c r="N3" s="1815"/>
      <c r="O3" s="1815"/>
      <c r="P3" s="1815"/>
    </row>
    <row r="4" spans="1:16">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XX, 2026</v>
      </c>
      <c r="B5" s="1817"/>
      <c r="C5" s="1817"/>
      <c r="D5" s="1817"/>
      <c r="E5" s="1235"/>
      <c r="F5" s="1816"/>
      <c r="G5" s="1818" t="s">
        <v>7510</v>
      </c>
      <c r="H5" s="1235"/>
      <c r="I5" s="1235"/>
      <c r="J5" s="1235"/>
      <c r="K5" s="1235"/>
      <c r="L5" s="1816"/>
      <c r="M5" s="1235"/>
      <c r="N5" s="1235"/>
      <c r="O5" s="1235"/>
      <c r="P5" s="1819" t="s">
        <v>16</v>
      </c>
    </row>
    <row r="6" spans="1:16" ht="14.25" customHeight="1">
      <c r="A6" s="1817"/>
      <c r="B6" s="1817"/>
      <c r="C6" s="1817"/>
      <c r="D6" s="1817"/>
      <c r="E6" s="253"/>
      <c r="F6" s="1816"/>
      <c r="G6" s="1818" t="s">
        <v>7511</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20</v>
      </c>
      <c r="H7" s="1086"/>
      <c r="I7" s="1086"/>
      <c r="J7" s="1086"/>
      <c r="K7" s="1235"/>
      <c r="L7" s="1235"/>
      <c r="M7" s="1235"/>
      <c r="N7" s="1235"/>
      <c r="O7" s="1235"/>
      <c r="P7" s="1235"/>
    </row>
    <row r="8" spans="1:16">
      <c r="A8" s="1816"/>
      <c r="B8" s="1235"/>
      <c r="C8" s="1235"/>
      <c r="D8" s="1235"/>
      <c r="E8" s="1086"/>
      <c r="F8" s="1235"/>
      <c r="G8" s="1235"/>
      <c r="H8" s="1086"/>
      <c r="I8" s="1086"/>
      <c r="J8" s="1235"/>
      <c r="K8" s="1235"/>
      <c r="L8" s="1235"/>
      <c r="M8" s="1086"/>
      <c r="N8" s="1235"/>
      <c r="O8" s="1235"/>
      <c r="P8" s="1235"/>
    </row>
    <row r="9" spans="1:16">
      <c r="A9" s="1815" t="s">
        <v>21</v>
      </c>
      <c r="B9" s="1815" t="s">
        <v>22</v>
      </c>
      <c r="C9" s="1235"/>
      <c r="D9" s="270"/>
      <c r="E9" s="1086"/>
      <c r="F9" s="1821" t="s">
        <v>23</v>
      </c>
      <c r="G9" s="1235"/>
      <c r="H9" s="1235"/>
      <c r="I9" s="1822">
        <f>'Part III-A-Uses of Funds'!$J$192</f>
        <v>1350000</v>
      </c>
      <c r="J9" s="1822"/>
      <c r="K9" s="1235"/>
      <c r="L9" s="1235" t="s">
        <v>24</v>
      </c>
      <c r="M9" s="1235"/>
      <c r="N9" s="1235"/>
      <c r="O9" s="1823">
        <f>'Part II-Sources of Funds'!$H$6</f>
        <v>0</v>
      </c>
      <c r="P9" s="1823"/>
    </row>
    <row r="10" spans="1:16">
      <c r="A10" s="1815"/>
      <c r="B10" s="1815"/>
      <c r="C10" s="1235"/>
      <c r="D10" s="270"/>
      <c r="E10" s="1086"/>
      <c r="F10" s="1086"/>
      <c r="G10" s="1235"/>
      <c r="H10" s="1235"/>
      <c r="I10" s="1824"/>
      <c r="J10" s="1235"/>
      <c r="K10" s="1235"/>
      <c r="L10" s="1235"/>
      <c r="M10" s="1235"/>
      <c r="N10" s="1825"/>
      <c r="O10" s="1235"/>
      <c r="P10" s="1235"/>
    </row>
    <row r="11" spans="1:16" ht="13.5">
      <c r="A11" s="1824" t="s">
        <v>25</v>
      </c>
      <c r="B11" s="1815" t="s">
        <v>26</v>
      </c>
      <c r="C11" s="1235"/>
      <c r="D11" s="1235"/>
      <c r="E11" s="1235"/>
      <c r="F11" s="1742" t="str">
        <f>'Part I-Project Identification'!F12</f>
        <v>9% Credits</v>
      </c>
      <c r="G11" s="1742"/>
      <c r="H11" s="1742"/>
      <c r="I11" s="1826" t="s">
        <v>7512</v>
      </c>
      <c r="J11" s="1742" t="s">
        <v>7513</v>
      </c>
      <c r="K11" s="1815"/>
      <c r="L11" s="1086"/>
      <c r="M11" s="1235"/>
      <c r="N11" s="1235"/>
      <c r="O11" s="1235" t="str">
        <f>'Part I-Project Identification'!O12</f>
        <v>2026-PA123</v>
      </c>
      <c r="P11" s="1235"/>
    </row>
    <row r="12" spans="1:16" ht="15">
      <c r="A12" s="1827"/>
      <c r="B12" s="1746"/>
      <c r="C12" s="1828"/>
      <c r="D12" s="1828"/>
      <c r="E12" s="1828"/>
      <c r="F12" s="1829" t="s">
        <v>29</v>
      </c>
      <c r="G12" s="1746"/>
      <c r="H12" s="1830"/>
      <c r="I12" s="1830"/>
      <c r="J12" s="1830"/>
      <c r="K12" s="1830"/>
      <c r="L12" s="1830"/>
      <c r="M12" s="1830"/>
      <c r="N12" s="1830"/>
      <c r="O12" s="1830"/>
      <c r="P12" s="1748" t="str">
        <f>'Part I-Project Identification'!P13</f>
        <v>No</v>
      </c>
    </row>
    <row r="13" spans="1:16">
      <c r="A13" s="1816"/>
      <c r="B13" s="270"/>
      <c r="C13" s="270"/>
      <c r="D13" s="270"/>
      <c r="E13" s="270"/>
      <c r="F13" s="1235"/>
      <c r="G13" s="1235"/>
      <c r="H13" s="1086"/>
      <c r="I13" s="1235"/>
      <c r="J13" s="1821"/>
      <c r="K13" s="1824"/>
      <c r="L13" s="1235"/>
      <c r="M13" s="1086"/>
      <c r="N13" s="1235"/>
      <c r="O13" s="1235"/>
      <c r="P13" s="1235"/>
    </row>
    <row r="14" spans="1:16">
      <c r="A14" s="1824" t="s">
        <v>31</v>
      </c>
      <c r="B14" s="1815" t="s">
        <v>32</v>
      </c>
      <c r="C14" s="1235"/>
      <c r="D14" s="1821"/>
      <c r="E14" s="1086"/>
      <c r="F14" s="1235"/>
      <c r="G14" s="1086"/>
      <c r="H14" s="1086"/>
      <c r="I14" s="1831" t="s">
        <v>33</v>
      </c>
      <c r="J14" s="1235"/>
      <c r="K14" s="1235"/>
      <c r="L14" s="1825"/>
      <c r="M14" s="1235"/>
      <c r="N14" s="1235"/>
      <c r="O14" s="1235"/>
      <c r="P14" s="1235"/>
    </row>
    <row r="15" spans="1:16">
      <c r="A15" s="1235"/>
      <c r="B15" s="1235" t="s">
        <v>34</v>
      </c>
      <c r="C15" s="1235"/>
      <c r="D15" s="1235"/>
      <c r="E15" s="1235"/>
      <c r="F15" s="1235" t="str">
        <f>'Part I-Project Identification'!F17</f>
        <v>Westchester Ventures, LLC</v>
      </c>
      <c r="G15" s="1235"/>
      <c r="H15" s="1235"/>
      <c r="I15" s="1235" t="s">
        <v>35</v>
      </c>
      <c r="J15" s="1235" t="str">
        <f>'Part I-Project Identification'!J17</f>
        <v>Philip Searles</v>
      </c>
      <c r="K15" s="1235"/>
      <c r="L15" s="1235"/>
      <c r="M15" s="1821" t="s">
        <v>36</v>
      </c>
      <c r="N15" s="1235" t="str">
        <f>'Part I-Project Identification'!N17</f>
        <v>Principal</v>
      </c>
      <c r="O15" s="1235"/>
      <c r="P15" s="1235"/>
    </row>
    <row r="16" spans="1:16">
      <c r="A16" s="1235"/>
      <c r="B16" s="1821" t="s">
        <v>37</v>
      </c>
      <c r="C16" s="1235"/>
      <c r="D16" s="1235"/>
      <c r="E16" s="1235"/>
      <c r="F16" s="1832">
        <f>'Part I-Project Identification'!F18</f>
        <v>6784676861</v>
      </c>
      <c r="G16" s="1832"/>
      <c r="H16" s="1832"/>
      <c r="I16" s="1821" t="s">
        <v>38</v>
      </c>
      <c r="J16" s="1086">
        <f>'Part I-Project Identification'!J18</f>
        <v>0</v>
      </c>
      <c r="K16" s="1235"/>
      <c r="L16" s="1235"/>
      <c r="M16" s="1821" t="s">
        <v>39</v>
      </c>
      <c r="N16" s="1832">
        <f>'Part I-Project Identification'!N18</f>
        <v>6784676861</v>
      </c>
      <c r="O16" s="1832"/>
      <c r="P16" s="1832"/>
    </row>
    <row r="17" spans="1:16">
      <c r="A17" s="1235"/>
      <c r="B17" s="1821" t="s">
        <v>40</v>
      </c>
      <c r="C17" s="1235"/>
      <c r="D17" s="1235"/>
      <c r="E17" s="1235"/>
      <c r="F17" s="1235" t="str">
        <f>'Part I-Project Identification'!F19</f>
        <v>philipsearles@gmail.com</v>
      </c>
      <c r="G17" s="1235"/>
      <c r="H17" s="1235"/>
      <c r="I17" s="1235"/>
      <c r="J17" s="1235"/>
      <c r="K17" s="1235"/>
      <c r="L17" s="1235"/>
      <c r="M17" s="1821" t="s">
        <v>41</v>
      </c>
      <c r="N17" s="1832">
        <f>'Part I-Project Identification'!N19</f>
        <v>6784676861</v>
      </c>
      <c r="O17" s="1832"/>
      <c r="P17" s="1832"/>
    </row>
    <row r="18" spans="1:16">
      <c r="A18" s="1816"/>
      <c r="B18" s="1815" t="s">
        <v>42</v>
      </c>
      <c r="C18" s="270"/>
      <c r="D18" s="1235"/>
      <c r="E18" s="1235"/>
      <c r="F18" s="1235"/>
      <c r="G18" s="1235"/>
      <c r="H18" s="1086"/>
      <c r="I18" s="1235"/>
      <c r="J18" s="270"/>
      <c r="K18" s="1235"/>
      <c r="L18" s="1235"/>
      <c r="M18" s="1235"/>
      <c r="N18" s="1235"/>
      <c r="O18" s="1235"/>
      <c r="P18" s="1086"/>
    </row>
    <row r="19" spans="1:16">
      <c r="A19" s="1235"/>
      <c r="B19" s="1235" t="s">
        <v>34</v>
      </c>
      <c r="C19" s="1235"/>
      <c r="D19" s="1235"/>
      <c r="E19" s="1235"/>
      <c r="F19" s="1235">
        <f>'Part I-Project Identification'!F21</f>
        <v>0</v>
      </c>
      <c r="G19" s="1235"/>
      <c r="H19" s="1235"/>
      <c r="I19" s="1235" t="s">
        <v>35</v>
      </c>
      <c r="J19" s="1235">
        <f>'Part I-Project Identification'!J21</f>
        <v>0</v>
      </c>
      <c r="K19" s="1235"/>
      <c r="L19" s="1235"/>
      <c r="M19" s="1821" t="s">
        <v>36</v>
      </c>
      <c r="N19" s="1235">
        <f>'Part I-Project Identification'!N21</f>
        <v>0</v>
      </c>
      <c r="O19" s="1235"/>
      <c r="P19" s="1235"/>
    </row>
    <row r="20" spans="1:16">
      <c r="A20" s="1235"/>
      <c r="B20" s="1821" t="s">
        <v>37</v>
      </c>
      <c r="C20" s="1235"/>
      <c r="D20" s="1235"/>
      <c r="E20" s="1235"/>
      <c r="F20" s="1832">
        <f>'Part I-Project Identification'!F22</f>
        <v>0</v>
      </c>
      <c r="G20" s="1832"/>
      <c r="H20" s="1832"/>
      <c r="I20" s="1821" t="s">
        <v>38</v>
      </c>
      <c r="J20" s="1086">
        <f>'Part I-Project Identification'!J22</f>
        <v>0</v>
      </c>
      <c r="K20" s="1235"/>
      <c r="L20" s="1235"/>
      <c r="M20" s="1821" t="s">
        <v>39</v>
      </c>
      <c r="N20" s="1832">
        <f>'Part I-Project Identification'!N22</f>
        <v>0</v>
      </c>
      <c r="O20" s="1832"/>
      <c r="P20" s="1832"/>
    </row>
    <row r="21" spans="1:16">
      <c r="A21" s="1235"/>
      <c r="B21" s="1821" t="s">
        <v>40</v>
      </c>
      <c r="C21" s="1235"/>
      <c r="D21" s="1235"/>
      <c r="E21" s="1235"/>
      <c r="F21" s="1235">
        <f>'Part I-Project Identification'!F23</f>
        <v>0</v>
      </c>
      <c r="G21" s="1235"/>
      <c r="H21" s="1235"/>
      <c r="I21" s="1235"/>
      <c r="J21" s="1235"/>
      <c r="K21" s="1235"/>
      <c r="L21" s="1235"/>
      <c r="M21" s="1821" t="s">
        <v>41</v>
      </c>
      <c r="N21" s="1832">
        <f>'Part I-Project Identification'!N23</f>
        <v>0</v>
      </c>
      <c r="O21" s="1832"/>
      <c r="P21" s="1832"/>
    </row>
    <row r="22" spans="1:16">
      <c r="A22" s="1235"/>
      <c r="B22" s="1235"/>
      <c r="C22" s="1235"/>
      <c r="D22" s="1235"/>
      <c r="E22" s="1235"/>
      <c r="F22" s="1235"/>
      <c r="G22" s="1235"/>
      <c r="H22" s="1235"/>
      <c r="I22" s="270"/>
      <c r="J22" s="270"/>
      <c r="K22" s="270"/>
      <c r="L22" s="270"/>
      <c r="M22" s="270"/>
      <c r="N22" s="270"/>
      <c r="O22" s="270"/>
      <c r="P22" s="270"/>
    </row>
    <row r="23" spans="1:16">
      <c r="A23" s="1824" t="s">
        <v>43</v>
      </c>
      <c r="B23" s="1815" t="s">
        <v>44</v>
      </c>
      <c r="C23" s="1235"/>
      <c r="D23" s="270"/>
      <c r="E23" s="1086"/>
      <c r="F23" s="1086"/>
      <c r="G23" s="1821"/>
      <c r="H23" s="1086"/>
      <c r="I23" s="1086"/>
      <c r="J23" s="1086"/>
      <c r="K23" s="1235"/>
      <c r="L23" s="1235"/>
      <c r="M23" s="1235"/>
      <c r="N23" s="1235"/>
      <c r="O23" s="1235"/>
      <c r="P23" s="1235"/>
    </row>
    <row r="24" spans="1:16">
      <c r="A24" s="1824"/>
      <c r="B24" s="1815"/>
      <c r="C24" s="1235"/>
      <c r="D24" s="270"/>
      <c r="E24" s="1086"/>
      <c r="F24" s="1086"/>
      <c r="G24" s="1821"/>
      <c r="H24" s="1086"/>
      <c r="I24" s="1086"/>
      <c r="J24" s="1086"/>
      <c r="K24" s="1235"/>
      <c r="L24" s="1825"/>
      <c r="M24" s="1825"/>
      <c r="N24" s="1235"/>
      <c r="O24" s="1235"/>
      <c r="P24" s="1235"/>
    </row>
    <row r="25" spans="1:16">
      <c r="A25" s="1815"/>
      <c r="B25" s="1235" t="s">
        <v>45</v>
      </c>
      <c r="C25" s="1235"/>
      <c r="D25" s="1815"/>
      <c r="E25" s="1235"/>
      <c r="F25" s="1235" t="str">
        <f>'Part I-Project Identification'!F27</f>
        <v>Westchester Village II</v>
      </c>
      <c r="G25" s="1235"/>
      <c r="H25" s="1235"/>
      <c r="I25" s="1235"/>
      <c r="J25" s="1235"/>
      <c r="K25" s="1235"/>
      <c r="L25" s="1235"/>
      <c r="M25" s="1821" t="s">
        <v>46</v>
      </c>
      <c r="N25" s="1235"/>
      <c r="O25" s="1235"/>
      <c r="P25" s="1833" t="str">
        <f>'Part I-Project Identification'!P27</f>
        <v>No</v>
      </c>
    </row>
    <row r="26" spans="1:16">
      <c r="A26" s="1816"/>
      <c r="B26" s="1235" t="s">
        <v>47</v>
      </c>
      <c r="C26" s="1235"/>
      <c r="D26" s="1235"/>
      <c r="E26" s="1235"/>
      <c r="F26" s="1235" t="str">
        <f>'Part I-Project Identification'!F28</f>
        <v>Jonesboro</v>
      </c>
      <c r="G26" s="1235"/>
      <c r="H26" s="1235"/>
      <c r="I26" s="1834" t="s">
        <v>49</v>
      </c>
      <c r="J26" s="1235" t="str">
        <f>'Part I-Project Identification'!J28</f>
        <v>Clayton</v>
      </c>
      <c r="K26" s="1235"/>
      <c r="L26" s="1235"/>
      <c r="M26" s="1821" t="s">
        <v>50</v>
      </c>
      <c r="N26" s="1235"/>
      <c r="O26" s="1235"/>
      <c r="P26" s="1833" t="str">
        <f>'Part I-Project Identification'!P28</f>
        <v>No</v>
      </c>
    </row>
    <row r="27" spans="1:16" ht="13.5">
      <c r="A27" s="1816"/>
      <c r="B27" s="1235" t="s">
        <v>51</v>
      </c>
      <c r="C27" s="1835"/>
      <c r="D27" s="1133"/>
      <c r="E27" s="1133"/>
      <c r="F27" s="1235" t="str">
        <f>'Part I-Project Identification'!F29</f>
        <v>Unincorporated County</v>
      </c>
      <c r="G27" s="1235"/>
      <c r="H27" s="1235"/>
      <c r="I27" s="1086"/>
      <c r="J27" s="271" t="s">
        <v>52</v>
      </c>
      <c r="K27" s="1086"/>
      <c r="L27" s="1235"/>
      <c r="M27" s="1821" t="s">
        <v>53</v>
      </c>
      <c r="N27" s="1235"/>
      <c r="O27" s="1836">
        <f>'Part I-Project Identification'!O29</f>
        <v>7.44</v>
      </c>
      <c r="P27" s="1836"/>
    </row>
    <row r="28" spans="1:16">
      <c r="A28" s="1816"/>
      <c r="B28" s="1235" t="s">
        <v>54</v>
      </c>
      <c r="C28" s="1235"/>
      <c r="D28" s="1235"/>
      <c r="E28" s="1235"/>
      <c r="F28" s="1821" t="str">
        <f>'Part I-Project Identification'!F30</f>
        <v>No</v>
      </c>
      <c r="G28" s="1235"/>
      <c r="H28" s="1235"/>
      <c r="I28" s="1086"/>
      <c r="J28" s="1086" t="s">
        <v>55</v>
      </c>
      <c r="K28" s="1086" t="str">
        <f>'Part I-Project Identification'!K30</f>
        <v>Urban</v>
      </c>
      <c r="L28" s="1235"/>
      <c r="M28" s="1821" t="s">
        <v>56</v>
      </c>
      <c r="N28" s="1816" t="str">
        <f>'Part I-Project Identification'!N30</f>
        <v>MSA</v>
      </c>
      <c r="O28" s="1235" t="str">
        <f>'Part I-Project Identification'!O30</f>
        <v>Atlanta-Sandy Springs-Marietta</v>
      </c>
      <c r="P28" s="1235"/>
    </row>
    <row r="29" spans="1:16">
      <c r="A29" s="1816"/>
      <c r="B29" s="1816"/>
      <c r="C29" s="1835"/>
      <c r="D29" s="1133"/>
      <c r="E29" s="1133"/>
      <c r="F29" s="1086"/>
      <c r="G29" s="1086"/>
      <c r="H29" s="1086"/>
      <c r="I29" s="1086"/>
      <c r="J29" s="1133"/>
      <c r="K29" s="1086"/>
      <c r="L29" s="1086"/>
      <c r="M29" s="1235"/>
      <c r="N29" s="1235"/>
      <c r="O29" s="1235"/>
      <c r="P29" s="1086"/>
    </row>
    <row r="30" spans="1:16">
      <c r="A30" s="1824" t="s">
        <v>57</v>
      </c>
      <c r="B30" s="1824" t="s">
        <v>58</v>
      </c>
      <c r="C30" s="1235"/>
      <c r="D30" s="269"/>
      <c r="E30" s="269"/>
      <c r="F30" s="269"/>
      <c r="G30" s="1086"/>
      <c r="H30" s="1086"/>
      <c r="I30" s="1086"/>
      <c r="J30" s="1133"/>
      <c r="K30" s="1086"/>
      <c r="L30" s="1086"/>
      <c r="M30" s="1235"/>
      <c r="N30" s="1235"/>
      <c r="O30" s="1235"/>
      <c r="P30" s="1086"/>
    </row>
    <row r="31" spans="1:16">
      <c r="A31" s="1816"/>
      <c r="B31" s="1816"/>
      <c r="C31" s="1235"/>
      <c r="D31" s="1235"/>
      <c r="E31" s="1235"/>
      <c r="F31" s="1235"/>
      <c r="G31" s="1235"/>
      <c r="H31" s="1235"/>
      <c r="I31" s="1235"/>
      <c r="J31" s="1235"/>
      <c r="K31" s="1235"/>
      <c r="L31" s="1235"/>
      <c r="M31" s="1821"/>
      <c r="N31" s="1837"/>
      <c r="O31" s="1837"/>
      <c r="P31" s="1838"/>
    </row>
    <row r="32" spans="1:16">
      <c r="A32" s="1816"/>
      <c r="B32" s="1824" t="s">
        <v>59</v>
      </c>
      <c r="C32" s="1235"/>
      <c r="D32" s="1839"/>
      <c r="E32" s="1839"/>
      <c r="F32" s="1839"/>
      <c r="G32" s="1839"/>
      <c r="H32" s="1086"/>
      <c r="I32" s="1235"/>
      <c r="J32" s="270"/>
      <c r="K32" s="1133"/>
      <c r="L32" s="1235"/>
      <c r="M32" s="1235"/>
      <c r="N32" s="1235"/>
      <c r="O32" s="1235"/>
      <c r="P32" s="1086"/>
    </row>
    <row r="33" spans="1:17">
      <c r="A33" s="1816"/>
      <c r="B33" s="1816"/>
      <c r="C33" s="1824"/>
      <c r="D33" s="1839"/>
      <c r="E33" s="1839"/>
      <c r="F33" s="1839"/>
      <c r="G33" s="1839"/>
      <c r="H33" s="1086"/>
      <c r="I33" s="1235"/>
      <c r="J33" s="270"/>
      <c r="K33" s="1133"/>
      <c r="L33" s="1235"/>
      <c r="M33" s="1235"/>
      <c r="N33" s="1235"/>
      <c r="O33" s="1235"/>
      <c r="P33" s="1086"/>
    </row>
    <row r="34" spans="1:17" ht="13.5">
      <c r="A34" s="1816"/>
      <c r="B34" s="1816"/>
      <c r="C34" s="1235"/>
      <c r="D34" s="1742"/>
      <c r="E34" s="1235"/>
      <c r="F34" s="1235"/>
      <c r="G34" s="1235"/>
      <c r="H34" s="1235"/>
      <c r="J34" s="1235"/>
      <c r="K34" s="1815"/>
      <c r="L34" s="1235"/>
      <c r="M34" s="1235"/>
      <c r="N34" s="1235"/>
      <c r="O34" s="1235"/>
      <c r="P34" s="1133"/>
    </row>
    <row r="35" spans="1:17">
      <c r="A35" s="1816"/>
      <c r="B35" s="1815"/>
      <c r="C35" s="1235"/>
      <c r="D35" s="1235"/>
      <c r="E35" s="1235"/>
      <c r="F35" s="1235"/>
      <c r="G35" s="1235"/>
      <c r="H35" s="1235"/>
      <c r="I35" s="1133"/>
      <c r="J35" s="1834"/>
      <c r="K35" s="1235"/>
      <c r="L35" s="1235"/>
      <c r="M35" s="1235"/>
      <c r="N35" s="1235"/>
      <c r="O35" s="1840"/>
      <c r="P35" s="1840"/>
    </row>
    <row r="36" spans="1:17">
      <c r="A36" s="1816"/>
      <c r="B36" s="1815"/>
      <c r="C36" s="1235" t="s">
        <v>64</v>
      </c>
      <c r="D36" s="1235"/>
      <c r="E36" s="1235"/>
      <c r="F36" s="1235"/>
      <c r="G36" s="1235"/>
      <c r="H36" s="1235"/>
      <c r="I36" s="1133" t="str">
        <f>'Part I-Project Identification'!I38</f>
        <v>No</v>
      </c>
      <c r="J36" s="1834" t="s">
        <v>63</v>
      </c>
      <c r="K36" s="1235"/>
      <c r="L36" s="1235"/>
      <c r="M36" s="1235"/>
      <c r="N36" s="1235"/>
      <c r="O36" s="1840">
        <f>'Part I-Project Identification'!O38</f>
        <v>0</v>
      </c>
      <c r="P36" s="1840"/>
    </row>
    <row r="37" spans="1:17">
      <c r="A37" s="1816"/>
      <c r="B37" s="1816"/>
      <c r="C37" s="1235" t="s">
        <v>65</v>
      </c>
      <c r="D37" s="1235"/>
      <c r="E37" s="1235"/>
      <c r="F37" s="1235"/>
      <c r="G37" s="1235"/>
      <c r="H37" s="1235"/>
      <c r="I37" s="1133" t="str">
        <f>'Part I-Project Identification'!I39</f>
        <v>No</v>
      </c>
      <c r="J37" s="1834" t="s">
        <v>63</v>
      </c>
      <c r="K37" s="1235"/>
      <c r="L37" s="1235"/>
      <c r="M37" s="1235"/>
      <c r="N37" s="1235"/>
      <c r="O37" s="1840">
        <f>'Part I-Project Identification'!O39</f>
        <v>0</v>
      </c>
      <c r="P37" s="1840"/>
    </row>
    <row r="38" spans="1:17">
      <c r="A38" s="1816"/>
      <c r="B38" s="1816"/>
      <c r="C38" s="1235"/>
      <c r="D38" s="1235"/>
      <c r="E38" s="1235"/>
      <c r="F38" s="1235"/>
      <c r="G38" s="1235"/>
      <c r="H38" s="1235"/>
      <c r="I38" s="1235"/>
      <c r="J38" s="1235"/>
      <c r="K38" s="1235"/>
      <c r="L38" s="1235"/>
      <c r="M38" s="1235"/>
      <c r="N38" s="1235"/>
      <c r="O38" s="1235"/>
      <c r="P38" s="270"/>
    </row>
    <row r="39" spans="1:17">
      <c r="A39" s="1235"/>
      <c r="B39" s="1815"/>
      <c r="C39" s="1235"/>
      <c r="D39" s="1235"/>
      <c r="E39" s="1235"/>
      <c r="F39" s="1235"/>
      <c r="G39" s="1235"/>
      <c r="H39" s="1235"/>
      <c r="I39" s="1235"/>
      <c r="J39" s="1235"/>
      <c r="K39" s="1235"/>
      <c r="L39" s="270"/>
      <c r="M39" s="270"/>
      <c r="N39" s="270"/>
      <c r="O39" s="270"/>
      <c r="P39" s="1825"/>
    </row>
    <row r="40" spans="1:17">
      <c r="A40" s="1824" t="s">
        <v>66</v>
      </c>
      <c r="B40" s="269"/>
      <c r="C40" s="269" t="s">
        <v>67</v>
      </c>
      <c r="D40" s="270"/>
      <c r="E40" s="270"/>
      <c r="F40" s="270"/>
      <c r="G40" s="270"/>
      <c r="H40" s="270"/>
      <c r="I40" s="270"/>
      <c r="J40" s="270"/>
      <c r="K40" s="270"/>
      <c r="L40" s="270"/>
      <c r="M40" s="1824" t="s">
        <v>68</v>
      </c>
      <c r="N40" s="269" t="s">
        <v>69</v>
      </c>
      <c r="O40" s="270"/>
      <c r="P40" s="270"/>
    </row>
    <row r="41" spans="1:17">
      <c r="A41" s="1824"/>
      <c r="B41" s="269"/>
      <c r="C41" s="269"/>
      <c r="D41" s="270"/>
      <c r="E41" s="270"/>
      <c r="F41" s="270"/>
      <c r="G41" s="270"/>
      <c r="H41" s="270"/>
      <c r="I41" s="270"/>
      <c r="J41" s="270"/>
      <c r="K41" s="270"/>
      <c r="L41" s="270"/>
      <c r="M41" s="1824"/>
      <c r="N41" s="269"/>
      <c r="O41" s="270"/>
      <c r="P41" s="270"/>
    </row>
    <row r="42" spans="1:17" ht="13.5">
      <c r="A42" s="1841">
        <f>'Part I-Project Identification'!A44</f>
        <v>0</v>
      </c>
      <c r="B42" s="1841"/>
      <c r="C42" s="1841"/>
      <c r="D42" s="1841"/>
      <c r="E42" s="1841"/>
      <c r="F42" s="1841"/>
      <c r="G42" s="1841"/>
      <c r="H42" s="1841"/>
      <c r="I42" s="1841"/>
      <c r="J42" s="1841"/>
      <c r="K42" s="1841"/>
      <c r="L42" s="1841"/>
      <c r="M42" s="1841"/>
      <c r="N42" s="1841"/>
      <c r="O42" s="1841"/>
      <c r="P42" s="1841"/>
    </row>
    <row r="46" spans="1:17">
      <c r="A46" s="1815" t="str">
        <f>CONCATENATE("PART TWO - SOURCES OF FUNDS (Proposed)","  -  ",'Part I-Project Identification'!$O$7," ",'Part I-Project Identification'!$F$27,", ",'Part I-Project Identification'!$F$28,", ",'Part I-Project Identification'!$J$28," County")</f>
        <v>PART TWO - SOURCES OF FUNDS (Proposed)  -  2026-0xx Westchester Village II, Jonesboro, Clayton County</v>
      </c>
      <c r="B46" s="1815"/>
      <c r="C46" s="1815"/>
      <c r="D46" s="1815"/>
      <c r="E46" s="1815"/>
      <c r="F46" s="1815"/>
      <c r="G46" s="1815"/>
      <c r="H46" s="1815"/>
      <c r="I46" s="1815"/>
      <c r="J46" s="1815"/>
      <c r="K46" s="1815"/>
      <c r="L46" s="1815"/>
      <c r="M46" s="1815"/>
      <c r="N46" s="1815"/>
      <c r="O46" s="1815"/>
      <c r="P46" s="1815"/>
      <c r="Q46" s="1815"/>
    </row>
    <row r="47" spans="1:17" ht="13.5">
      <c r="A47" s="270"/>
      <c r="B47" s="270"/>
      <c r="C47" s="270"/>
      <c r="D47" s="270"/>
      <c r="E47" s="270"/>
      <c r="F47" s="270"/>
      <c r="G47" s="253"/>
      <c r="H47" s="253"/>
      <c r="I47" s="253"/>
      <c r="J47" s="253"/>
      <c r="K47" s="253"/>
      <c r="L47" s="253"/>
      <c r="M47" s="1740"/>
      <c r="N47" s="1740"/>
      <c r="O47" s="1740"/>
      <c r="P47" s="1740"/>
      <c r="Q47" s="1740"/>
    </row>
    <row r="48" spans="1:17" ht="16.5">
      <c r="A48" s="1815" t="s">
        <v>21</v>
      </c>
      <c r="B48" s="1815" t="s">
        <v>348</v>
      </c>
      <c r="C48" s="1235"/>
      <c r="D48" s="1235"/>
      <c r="E48" s="1235"/>
      <c r="F48" s="1235"/>
      <c r="G48" s="1235"/>
      <c r="H48" s="1741"/>
      <c r="I48" s="1741"/>
      <c r="J48" s="1741"/>
      <c r="K48" s="1741"/>
      <c r="L48" s="1842" t="str">
        <f>'Part I-Project Identification'!$A$6</f>
        <v>May XX, 2026</v>
      </c>
      <c r="M48" s="1842"/>
      <c r="N48" s="1842"/>
      <c r="O48" s="1842"/>
      <c r="P48" s="1842"/>
      <c r="Q48" s="1741"/>
    </row>
    <row r="49" spans="1:17" ht="13.5">
      <c r="A49" s="269"/>
      <c r="B49" s="1816"/>
      <c r="C49" s="269"/>
      <c r="D49" s="1235"/>
      <c r="E49" s="1235"/>
      <c r="F49" s="1235"/>
      <c r="G49" s="1235"/>
      <c r="H49" s="1741"/>
      <c r="I49" s="1741"/>
      <c r="J49" s="1741"/>
      <c r="K49" s="1741"/>
      <c r="L49" s="1741"/>
      <c r="M49" s="1741"/>
      <c r="N49" s="1741"/>
      <c r="O49" s="1741"/>
      <c r="P49" s="1741"/>
      <c r="Q49" s="1741"/>
    </row>
    <row r="50" spans="1:17" ht="13.5">
      <c r="A50" s="1816"/>
      <c r="B50" s="1086" t="str">
        <f>'Part II-Sources of Funds'!B6</f>
        <v>Yes</v>
      </c>
      <c r="C50" s="1818" t="s">
        <v>350</v>
      </c>
      <c r="D50" s="1235"/>
      <c r="E50" s="1086">
        <f>'Part II-Sources of Funds'!E6</f>
        <v>0</v>
      </c>
      <c r="F50" s="1818" t="s">
        <v>351</v>
      </c>
      <c r="G50" s="1235"/>
      <c r="H50" s="1843">
        <f>'Part II-Sources of Funds'!H6</f>
        <v>0</v>
      </c>
      <c r="I50" s="1741"/>
      <c r="J50" s="1741"/>
      <c r="K50" s="1741"/>
      <c r="L50" s="1086">
        <f>'Part II-Sources of Funds'!L6</f>
        <v>0</v>
      </c>
      <c r="M50" s="1818" t="s">
        <v>352</v>
      </c>
      <c r="N50" s="1741"/>
      <c r="O50" s="1086">
        <f>'Part II-Sources of Funds'!O6</f>
        <v>0</v>
      </c>
      <c r="P50" s="1818" t="s">
        <v>353</v>
      </c>
      <c r="Q50" s="1741"/>
    </row>
    <row r="51" spans="1:17" ht="13.5">
      <c r="A51" s="1816"/>
      <c r="B51" s="1086">
        <f>'Part II-Sources of Funds'!B7</f>
        <v>0</v>
      </c>
      <c r="C51" s="1818" t="s">
        <v>354</v>
      </c>
      <c r="D51" s="1235"/>
      <c r="E51" s="1086">
        <f>'Part II-Sources of Funds'!E7</f>
        <v>0</v>
      </c>
      <c r="F51" s="1818" t="s">
        <v>355</v>
      </c>
      <c r="G51" s="1741"/>
      <c r="H51" s="1843">
        <f>'Part II-Sources of Funds'!H7</f>
        <v>0</v>
      </c>
      <c r="I51" s="1741"/>
      <c r="J51" s="1741"/>
      <c r="K51" s="1741"/>
      <c r="L51" s="1086">
        <f>'Part II-Sources of Funds'!L7</f>
        <v>0</v>
      </c>
      <c r="M51" s="1818" t="s">
        <v>356</v>
      </c>
      <c r="N51" s="1741"/>
      <c r="O51" s="1741"/>
      <c r="P51" s="1741"/>
      <c r="Q51" s="1741"/>
    </row>
    <row r="52" spans="1:17" ht="13.5">
      <c r="A52" s="1235"/>
      <c r="B52" s="1086">
        <f>'Part II-Sources of Funds'!B8</f>
        <v>0</v>
      </c>
      <c r="C52" s="1818" t="s">
        <v>357</v>
      </c>
      <c r="D52" s="1741"/>
      <c r="E52" s="1741"/>
      <c r="F52" s="1741" t="s">
        <v>358</v>
      </c>
      <c r="G52" s="1741"/>
      <c r="H52" s="1741" t="str">
        <f>'Part II-Sources of Funds'!H8</f>
        <v>Specify Other HOME Source here</v>
      </c>
      <c r="I52" s="1741"/>
      <c r="J52" s="1741"/>
      <c r="K52" s="1741"/>
      <c r="L52" s="1086">
        <f>'Part II-Sources of Funds'!L8</f>
        <v>0</v>
      </c>
      <c r="M52" s="1841" t="s">
        <v>360</v>
      </c>
      <c r="N52" s="1741"/>
      <c r="O52" s="1741"/>
      <c r="P52" s="1741"/>
      <c r="Q52" s="1741"/>
    </row>
    <row r="53" spans="1:17" ht="13.5">
      <c r="A53" s="1816"/>
      <c r="B53" s="1086">
        <f>'Part II-Sources of Funds'!B9</f>
        <v>0</v>
      </c>
      <c r="C53" s="1741" t="s">
        <v>361</v>
      </c>
      <c r="D53" s="1741"/>
      <c r="E53" s="1086">
        <f>'Part II-Sources of Funds'!E9</f>
        <v>0</v>
      </c>
      <c r="F53" s="1818" t="s">
        <v>362</v>
      </c>
      <c r="G53" s="1741"/>
      <c r="H53" s="1843">
        <f>'Part II-Sources of Funds'!H9</f>
        <v>0</v>
      </c>
      <c r="I53" s="1236"/>
      <c r="J53" s="1741"/>
      <c r="K53" s="1741"/>
      <c r="L53" s="1086">
        <f>'Part II-Sources of Funds'!L9</f>
        <v>0</v>
      </c>
      <c r="M53" s="1841" t="s">
        <v>363</v>
      </c>
      <c r="N53" s="1741"/>
      <c r="O53" s="1741"/>
      <c r="P53" s="1741"/>
      <c r="Q53" s="1841"/>
    </row>
    <row r="54" spans="1:17" ht="13.5">
      <c r="A54" s="1816"/>
      <c r="B54" s="1086">
        <f>'Part II-Sources of Funds'!B10</f>
        <v>0</v>
      </c>
      <c r="C54" s="1818" t="s">
        <v>364</v>
      </c>
      <c r="D54" s="1741"/>
      <c r="E54" s="1741"/>
      <c r="F54" s="1741"/>
      <c r="G54" s="1741"/>
      <c r="H54" s="1741"/>
      <c r="I54" s="1741"/>
      <c r="J54" s="1741"/>
      <c r="K54" s="1741"/>
      <c r="L54" s="1086">
        <f>'Part II-Sources of Funds'!L10</f>
        <v>0</v>
      </c>
      <c r="M54" s="1818" t="s">
        <v>365</v>
      </c>
      <c r="N54" s="1741"/>
      <c r="O54" s="1741"/>
      <c r="P54" s="1741"/>
      <c r="Q54" s="1841"/>
    </row>
    <row r="55" spans="1:17" ht="13.5">
      <c r="A55" s="1816"/>
      <c r="B55" s="1086">
        <f>'Part II-Sources of Funds'!B11</f>
        <v>0</v>
      </c>
      <c r="C55" s="1818" t="s">
        <v>366</v>
      </c>
      <c r="D55" s="1741"/>
      <c r="E55" s="1086">
        <f>'Part II-Sources of Funds'!E11</f>
        <v>0</v>
      </c>
      <c r="F55" s="1741" t="str">
        <f>'Part II-Sources of Funds'!F11</f>
        <v>Other Type of FEDERAL Funding * - describe type/program here</v>
      </c>
      <c r="G55" s="1741"/>
      <c r="H55" s="1741"/>
      <c r="I55" s="1741"/>
      <c r="J55" s="1741"/>
      <c r="K55" s="1741"/>
      <c r="L55" s="1086">
        <f>'Part II-Sources of Funds'!L11</f>
        <v>0</v>
      </c>
      <c r="M55" s="1818" t="s">
        <v>368</v>
      </c>
      <c r="N55" s="1741"/>
      <c r="O55" s="1741"/>
      <c r="P55" s="1741"/>
      <c r="Q55" s="1741"/>
    </row>
    <row r="56" spans="1:17" ht="13.5">
      <c r="A56" s="1816"/>
      <c r="B56" s="1086">
        <f>'Part II-Sources of Funds'!B12</f>
        <v>0</v>
      </c>
      <c r="C56" s="1818" t="s">
        <v>369</v>
      </c>
      <c r="D56" s="1741"/>
      <c r="E56" s="1741"/>
      <c r="F56" s="1741" t="str">
        <f>'Part II-Sources of Funds'!F12</f>
        <v>Specify Source/Administrator of Other FEDERAL Funding here</v>
      </c>
      <c r="G56" s="1741"/>
      <c r="H56" s="1741"/>
      <c r="I56" s="1741"/>
      <c r="J56" s="1741"/>
      <c r="K56" s="1741"/>
      <c r="L56" s="1086">
        <f>'Part II-Sources of Funds'!L12</f>
        <v>0</v>
      </c>
      <c r="M56" s="1818" t="s">
        <v>371</v>
      </c>
      <c r="N56" s="1741"/>
      <c r="O56" s="1741"/>
      <c r="P56" s="1741"/>
      <c r="Q56" s="1741"/>
    </row>
    <row r="57" spans="1:17" ht="13.5">
      <c r="A57" s="1816"/>
      <c r="B57" s="1086">
        <f>'Part II-Sources of Funds'!B13</f>
        <v>0</v>
      </c>
      <c r="C57" s="1818" t="s">
        <v>372</v>
      </c>
      <c r="D57" s="1741"/>
      <c r="E57" s="1086">
        <f>'Part II-Sources of Funds'!E13</f>
        <v>0</v>
      </c>
      <c r="F57" s="1741">
        <f>'Part II-Sources of Funds'!F13</f>
        <v>0</v>
      </c>
      <c r="G57" s="1741"/>
      <c r="H57" s="1741"/>
      <c r="I57" s="1741"/>
      <c r="J57" s="1741"/>
      <c r="K57" s="1741"/>
      <c r="L57" s="1086">
        <f>'Part II-Sources of Funds'!L13</f>
        <v>0</v>
      </c>
      <c r="M57" s="1741" t="s">
        <v>373</v>
      </c>
      <c r="N57" s="1741"/>
      <c r="O57" s="1741"/>
      <c r="P57" s="1741"/>
      <c r="Q57" s="1741"/>
    </row>
    <row r="58" spans="1:17" ht="13.5">
      <c r="A58" s="1816"/>
      <c r="B58" s="1086">
        <f>'Part II-Sources of Funds'!B14</f>
        <v>0</v>
      </c>
      <c r="C58" s="1741" t="s">
        <v>374</v>
      </c>
      <c r="D58" s="1741"/>
      <c r="E58" s="1741"/>
      <c r="F58" s="1741" t="str">
        <f>'Part II-Sources of Funds'!F14</f>
        <v>Specify Source/Administrator of Other STATE/LOCAL Funding here</v>
      </c>
      <c r="G58" s="1741"/>
      <c r="H58" s="1741"/>
      <c r="I58" s="1741"/>
      <c r="J58" s="1741"/>
      <c r="K58" s="1741"/>
      <c r="L58" s="1086">
        <f>'Part II-Sources of Funds'!L14</f>
        <v>0</v>
      </c>
      <c r="M58" s="1741" t="s">
        <v>376</v>
      </c>
      <c r="N58" s="1741"/>
      <c r="O58" s="1741"/>
      <c r="P58" s="1741"/>
      <c r="Q58" s="1741"/>
    </row>
    <row r="59" spans="1:17" ht="13.5">
      <c r="A59" s="1816"/>
      <c r="B59" s="1086">
        <f>'Part II-Sources of Funds'!B15</f>
        <v>0</v>
      </c>
      <c r="C59" s="1741" t="s">
        <v>377</v>
      </c>
      <c r="D59" s="1741"/>
      <c r="E59" s="1086">
        <f>'Part II-Sources of Funds'!E15</f>
        <v>0</v>
      </c>
      <c r="F59" s="1818" t="s">
        <v>378</v>
      </c>
      <c r="G59" s="1741"/>
      <c r="H59" s="1741" t="str">
        <f>'Part II-Sources of Funds'!H15</f>
        <v>Specify Other PBRA Source here</v>
      </c>
      <c r="I59" s="1741"/>
      <c r="J59" s="1741"/>
      <c r="K59" s="1741"/>
      <c r="L59" s="1086">
        <f>'Part II-Sources of Funds'!L15</f>
        <v>0</v>
      </c>
      <c r="M59" s="1741" t="s">
        <v>380</v>
      </c>
      <c r="N59" s="1741"/>
      <c r="O59" s="1741"/>
      <c r="P59" s="1741"/>
      <c r="Q59" s="1741"/>
    </row>
    <row r="60" spans="1:17" ht="13.5">
      <c r="A60" s="1816"/>
      <c r="B60" s="1086">
        <f>'Part II-Sources of Funds'!B16</f>
        <v>0</v>
      </c>
      <c r="C60" s="1818" t="s">
        <v>381</v>
      </c>
      <c r="D60" s="1741"/>
      <c r="E60" s="1086">
        <f>'Part II-Sources of Funds'!E16</f>
        <v>0</v>
      </c>
      <c r="F60" s="1818" t="s">
        <v>382</v>
      </c>
      <c r="G60" s="1741"/>
      <c r="H60" s="1741"/>
      <c r="I60" s="1741"/>
      <c r="J60" s="1741"/>
      <c r="K60" s="1741"/>
      <c r="L60" s="1086">
        <f>'Part II-Sources of Funds'!L16</f>
        <v>0</v>
      </c>
      <c r="M60" s="1741" t="s">
        <v>383</v>
      </c>
      <c r="N60" s="1741"/>
      <c r="O60" s="1741"/>
      <c r="P60" s="1741"/>
      <c r="Q60" s="1741"/>
    </row>
    <row r="61" spans="1:17" ht="13.5">
      <c r="A61" s="1816"/>
      <c r="B61" s="1086">
        <f>'Part II-Sources of Funds'!B17</f>
        <v>0</v>
      </c>
      <c r="C61" s="1818" t="s">
        <v>384</v>
      </c>
      <c r="D61" s="1741"/>
      <c r="E61" s="1086">
        <f>'Part II-Sources of Funds'!E17</f>
        <v>0</v>
      </c>
      <c r="F61" s="1818" t="s">
        <v>385</v>
      </c>
      <c r="G61" s="1741"/>
      <c r="H61" s="1741"/>
      <c r="I61" s="1741"/>
      <c r="J61" s="1741"/>
      <c r="K61" s="1741"/>
      <c r="L61" s="1086">
        <f>'Part II-Sources of Funds'!L17</f>
        <v>0</v>
      </c>
      <c r="M61" s="1841" t="s">
        <v>386</v>
      </c>
      <c r="N61" s="1741"/>
      <c r="O61" s="1741"/>
      <c r="P61" s="1741"/>
      <c r="Q61" s="1741"/>
    </row>
    <row r="62" spans="1:17" ht="13.5">
      <c r="A62" s="1816"/>
      <c r="B62" s="1818" t="s">
        <v>387</v>
      </c>
      <c r="C62" s="1741"/>
      <c r="D62" s="1236">
        <f>'Part II-Sources of Funds'!D18</f>
        <v>0</v>
      </c>
      <c r="E62" s="1236"/>
      <c r="F62" s="1818"/>
      <c r="G62" s="1741"/>
      <c r="H62" s="1741"/>
      <c r="I62" s="1741"/>
      <c r="J62" s="1741"/>
      <c r="K62" s="1741"/>
      <c r="L62" s="1086">
        <f>'Part II-Sources of Funds'!L18</f>
        <v>0</v>
      </c>
      <c r="M62" s="1841" t="s">
        <v>388</v>
      </c>
      <c r="N62" s="1741"/>
      <c r="O62" s="1741"/>
      <c r="P62" s="1741"/>
      <c r="Q62" s="1741"/>
    </row>
    <row r="63" spans="1:17" ht="13.5">
      <c r="A63" s="1816"/>
      <c r="B63" s="1741" t="s">
        <v>389</v>
      </c>
      <c r="C63" s="1235"/>
      <c r="D63" s="1235"/>
      <c r="E63" s="1235"/>
      <c r="F63" s="1235"/>
      <c r="G63" s="1235"/>
      <c r="H63" s="1235"/>
      <c r="I63" s="1235"/>
      <c r="J63" s="1235"/>
      <c r="K63" s="1235"/>
      <c r="L63" s="1235"/>
      <c r="M63" s="1740"/>
      <c r="N63" s="1235"/>
      <c r="O63" s="1235"/>
      <c r="P63" s="1235"/>
      <c r="Q63" s="1235"/>
    </row>
    <row r="64" spans="1:17" ht="13.5">
      <c r="A64" s="1816"/>
      <c r="B64" s="1741"/>
      <c r="C64" s="1741"/>
      <c r="D64" s="1741"/>
      <c r="E64" s="1741"/>
      <c r="F64" s="1741"/>
      <c r="G64" s="1741"/>
      <c r="H64" s="1741"/>
      <c r="I64" s="1741"/>
      <c r="J64" s="1741"/>
      <c r="K64" s="1741"/>
      <c r="L64" s="1235"/>
      <c r="M64" s="270"/>
      <c r="N64" s="1235"/>
      <c r="O64" s="1235"/>
      <c r="P64" s="1235"/>
      <c r="Q64" s="1235"/>
    </row>
    <row r="65" spans="1:17" ht="13.5">
      <c r="A65" s="1815" t="s">
        <v>25</v>
      </c>
      <c r="B65" s="1824" t="s">
        <v>390</v>
      </c>
      <c r="C65" s="1235"/>
      <c r="D65" s="1235"/>
      <c r="E65" s="1235"/>
      <c r="F65" s="1235"/>
      <c r="G65" s="1235"/>
      <c r="H65" s="1742"/>
      <c r="I65" s="1742"/>
      <c r="J65" s="1742"/>
      <c r="K65" s="1742"/>
      <c r="L65" s="1235"/>
      <c r="M65" s="1235"/>
      <c r="N65" s="1235"/>
      <c r="O65" s="1235"/>
      <c r="P65" s="1235"/>
      <c r="Q65" s="1235"/>
    </row>
    <row r="66" spans="1:17" ht="13.5">
      <c r="A66" s="1815"/>
      <c r="B66" s="1824"/>
      <c r="C66" s="1235"/>
      <c r="D66" s="1742"/>
      <c r="E66" s="1742"/>
      <c r="F66" s="1742"/>
      <c r="G66" s="1742"/>
      <c r="H66" s="1742"/>
      <c r="I66" s="1742"/>
      <c r="J66" s="1742"/>
      <c r="K66" s="1235"/>
      <c r="L66" s="1235"/>
      <c r="M66" s="1235"/>
      <c r="N66" s="1086"/>
      <c r="O66" s="1086"/>
      <c r="P66" s="1235"/>
      <c r="Q66" s="1235"/>
    </row>
    <row r="67" spans="1:17">
      <c r="A67" s="1235"/>
      <c r="B67" s="1821" t="s">
        <v>391</v>
      </c>
      <c r="C67" s="1235"/>
      <c r="D67" s="1235"/>
      <c r="E67" s="1235"/>
      <c r="F67" s="1235"/>
      <c r="G67" s="1235" t="s">
        <v>392</v>
      </c>
      <c r="H67" s="1235"/>
      <c r="I67" s="1235"/>
      <c r="J67" s="1235"/>
      <c r="K67" s="1235"/>
      <c r="L67" s="1235" t="s">
        <v>393</v>
      </c>
      <c r="M67" s="1235"/>
      <c r="N67" s="1235" t="s">
        <v>394</v>
      </c>
      <c r="O67" s="1235"/>
      <c r="P67" s="1235" t="s">
        <v>395</v>
      </c>
      <c r="Q67" s="1235"/>
    </row>
    <row r="68" spans="1:17">
      <c r="A68" s="1235"/>
      <c r="B68" s="1235" t="s">
        <v>397</v>
      </c>
      <c r="C68" s="1235"/>
      <c r="D68" s="1235"/>
      <c r="E68" s="1235"/>
      <c r="F68" s="1235"/>
      <c r="G68" s="1235" t="str">
        <f>'Part II-Sources of Funds'!G24</f>
        <v>Sterling Bank</v>
      </c>
      <c r="H68" s="1235"/>
      <c r="I68" s="1235"/>
      <c r="J68" s="1235"/>
      <c r="K68" s="1235"/>
      <c r="L68" s="1844">
        <f>'Part II-Sources of Funds'!L24</f>
        <v>16610244</v>
      </c>
      <c r="M68" s="1844"/>
      <c r="N68" s="1845">
        <f>'Part II-Sources of Funds'!N24</f>
        <v>7.2499999999999995E-2</v>
      </c>
      <c r="O68" s="1845"/>
      <c r="P68" s="1846">
        <f>'Part II-Sources of Funds'!P24</f>
        <v>24</v>
      </c>
      <c r="Q68" s="1846"/>
    </row>
    <row r="69" spans="1:17">
      <c r="A69" s="1235"/>
      <c r="B69" s="1235" t="s">
        <v>399</v>
      </c>
      <c r="C69" s="1235"/>
      <c r="D69" s="1235"/>
      <c r="E69" s="1235"/>
      <c r="F69" s="1235"/>
      <c r="G69" s="1235">
        <f>'Part II-Sources of Funds'!G25</f>
        <v>0</v>
      </c>
      <c r="H69" s="1235"/>
      <c r="I69" s="1235"/>
      <c r="J69" s="1235"/>
      <c r="K69" s="1235"/>
      <c r="L69" s="1844">
        <f>'Part II-Sources of Funds'!L25</f>
        <v>0</v>
      </c>
      <c r="M69" s="1844"/>
      <c r="N69" s="1845">
        <f>'Part II-Sources of Funds'!N25</f>
        <v>0</v>
      </c>
      <c r="O69" s="1845"/>
      <c r="P69" s="1846">
        <f>'Part II-Sources of Funds'!P25</f>
        <v>0</v>
      </c>
      <c r="Q69" s="1236"/>
    </row>
    <row r="70" spans="1:17">
      <c r="A70" s="1235"/>
      <c r="B70" s="1235" t="s">
        <v>401</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c r="A71" s="1235"/>
      <c r="B71" s="1235" t="s">
        <v>403</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5">
      <c r="A72" s="1235"/>
      <c r="B72" s="1235" t="s">
        <v>405</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5">
      <c r="A73" s="1235"/>
      <c r="B73" s="1235" t="s">
        <v>407</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5">
      <c r="A74" s="1235"/>
      <c r="B74" s="1235" t="s">
        <v>409</v>
      </c>
      <c r="C74" s="1235"/>
      <c r="D74" s="1235"/>
      <c r="E74" s="1235"/>
      <c r="F74" s="1741"/>
      <c r="G74" s="1235" t="str">
        <f>'Part II-Sources of Funds'!G30</f>
        <v>Affordable Equity Partners, Inc</v>
      </c>
      <c r="H74" s="1235"/>
      <c r="I74" s="1235"/>
      <c r="J74" s="1235"/>
      <c r="K74" s="1235"/>
      <c r="L74" s="1844">
        <f>'Part II-Sources of Funds'!L30</f>
        <v>1052789</v>
      </c>
      <c r="M74" s="1844"/>
      <c r="N74" s="1235"/>
      <c r="O74" s="1741"/>
      <c r="P74" s="1741"/>
      <c r="Q74" s="1235"/>
    </row>
    <row r="75" spans="1:17" ht="13.5">
      <c r="A75" s="1235"/>
      <c r="B75" s="1235" t="s">
        <v>411</v>
      </c>
      <c r="C75" s="1235"/>
      <c r="D75" s="1235"/>
      <c r="E75" s="1235"/>
      <c r="F75" s="1741"/>
      <c r="G75" s="1235" t="str">
        <f>'Part II-Sources of Funds'!G31</f>
        <v>Affordable Equity Partners, Inc</v>
      </c>
      <c r="H75" s="1235"/>
      <c r="I75" s="1235"/>
      <c r="J75" s="1235"/>
      <c r="K75" s="1235"/>
      <c r="L75" s="1844">
        <f>'Part II-Sources of Funds'!L31</f>
        <v>580500</v>
      </c>
      <c r="M75" s="1844"/>
      <c r="N75" s="1235"/>
      <c r="O75" s="1741"/>
      <c r="P75" s="1741"/>
      <c r="Q75" s="1235"/>
    </row>
    <row r="76" spans="1:17" ht="13.5">
      <c r="A76" s="1235"/>
      <c r="B76" s="1235" t="s">
        <v>413</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5">
      <c r="A77" s="1235"/>
      <c r="B77" s="1235" t="s">
        <v>413</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5">
      <c r="A78" s="1235"/>
      <c r="B78" s="1235" t="s">
        <v>413</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5">
      <c r="A79" s="1235"/>
      <c r="B79" s="1824" t="s">
        <v>416</v>
      </c>
      <c r="C79" s="1235"/>
      <c r="D79" s="1235"/>
      <c r="E79" s="1235"/>
      <c r="F79" s="1235"/>
      <c r="G79" s="1235"/>
      <c r="H79" s="1235"/>
      <c r="I79" s="1235"/>
      <c r="J79" s="1741"/>
      <c r="K79" s="1741"/>
      <c r="L79" s="1847">
        <f>SUM(L68:L78)</f>
        <v>18243533</v>
      </c>
      <c r="M79" s="1847"/>
      <c r="N79" s="270"/>
      <c r="O79" s="1741"/>
      <c r="P79" s="1741"/>
      <c r="Q79" s="1741"/>
    </row>
    <row r="80" spans="1:17" ht="13.5">
      <c r="A80" s="1235"/>
      <c r="B80" s="1821" t="s">
        <v>417</v>
      </c>
      <c r="C80" s="1235"/>
      <c r="D80" s="1235"/>
      <c r="E80" s="1235"/>
      <c r="F80" s="1235"/>
      <c r="G80" s="1235"/>
      <c r="H80" s="1235"/>
      <c r="I80" s="1235"/>
      <c r="J80" s="1741"/>
      <c r="K80" s="1741"/>
      <c r="L80" s="1847">
        <f>'Part II-Sources of Funds'!L36</f>
        <v>18243533</v>
      </c>
      <c r="M80" s="1847"/>
      <c r="N80" s="270"/>
      <c r="O80" s="1741"/>
      <c r="P80" s="1741"/>
      <c r="Q80" s="1741"/>
    </row>
    <row r="81" spans="1:17" ht="13.5">
      <c r="A81" s="1235"/>
      <c r="B81" s="1821" t="s">
        <v>418</v>
      </c>
      <c r="C81" s="1235"/>
      <c r="D81" s="1235"/>
      <c r="E81" s="1235"/>
      <c r="F81" s="1235"/>
      <c r="G81" s="1235"/>
      <c r="H81" s="1235"/>
      <c r="I81" s="1235"/>
      <c r="J81" s="1741"/>
      <c r="K81" s="1741"/>
      <c r="L81" s="1848">
        <f>L79-L80</f>
        <v>0</v>
      </c>
      <c r="M81" s="1848"/>
      <c r="N81" s="270"/>
      <c r="O81" s="1741"/>
      <c r="P81" s="1741"/>
      <c r="Q81" s="1741"/>
    </row>
    <row r="82" spans="1:17" ht="13.5">
      <c r="A82" s="269"/>
      <c r="B82" s="1824"/>
      <c r="C82" s="270"/>
      <c r="D82" s="270"/>
      <c r="E82" s="270"/>
      <c r="F82" s="270"/>
      <c r="G82" s="270"/>
      <c r="H82" s="270"/>
      <c r="I82" s="270"/>
      <c r="J82" s="270"/>
      <c r="K82" s="270"/>
      <c r="L82" s="270"/>
      <c r="M82" s="1086"/>
      <c r="N82" s="1086"/>
      <c r="O82" s="1740"/>
      <c r="P82" s="1740"/>
      <c r="Q82" s="1740"/>
    </row>
    <row r="83" spans="1:17" ht="13.5">
      <c r="A83" s="1815" t="s">
        <v>31</v>
      </c>
      <c r="B83" s="1824" t="s">
        <v>419</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420</v>
      </c>
      <c r="L84" s="1086" t="s">
        <v>421</v>
      </c>
      <c r="M84" s="1086" t="s">
        <v>422</v>
      </c>
      <c r="N84" s="1741"/>
      <c r="O84" s="1741"/>
      <c r="P84" s="270" t="s">
        <v>423</v>
      </c>
      <c r="Q84" s="270"/>
    </row>
    <row r="85" spans="1:17">
      <c r="A85" s="1235"/>
      <c r="B85" s="1821" t="s">
        <v>391</v>
      </c>
      <c r="C85" s="1235"/>
      <c r="D85" s="1235"/>
      <c r="E85" s="1235" t="s">
        <v>392</v>
      </c>
      <c r="F85" s="1235"/>
      <c r="G85" s="1235"/>
      <c r="H85" s="1235"/>
      <c r="I85" s="1235" t="s">
        <v>424</v>
      </c>
      <c r="J85" s="1235"/>
      <c r="K85" s="1086" t="s">
        <v>425</v>
      </c>
      <c r="L85" s="1086" t="s">
        <v>426</v>
      </c>
      <c r="M85" s="1086" t="s">
        <v>426</v>
      </c>
      <c r="N85" s="1235" t="s">
        <v>427</v>
      </c>
      <c r="O85" s="1235"/>
      <c r="P85" s="270"/>
      <c r="Q85" s="270"/>
    </row>
    <row r="86" spans="1:17">
      <c r="A86" s="1235"/>
      <c r="B86" s="1235" t="s">
        <v>429</v>
      </c>
      <c r="C86" s="1235"/>
      <c r="D86" s="1235"/>
      <c r="E86" s="1235" t="str">
        <f>'Part II-Sources of Funds'!E42</f>
        <v>Sterling Bank</v>
      </c>
      <c r="F86" s="1235"/>
      <c r="G86" s="1235"/>
      <c r="H86" s="1235"/>
      <c r="I86" s="1849">
        <f>'Part II-Sources of Funds'!I42</f>
        <v>4150000</v>
      </c>
      <c r="J86" s="1849"/>
      <c r="K86" s="1850">
        <f>'Part II-Sources of Funds'!K42</f>
        <v>7.2499999999999995E-2</v>
      </c>
      <c r="L86" s="1086">
        <f>'Part II-Sources of Funds'!L42</f>
        <v>18</v>
      </c>
      <c r="M86" s="1086">
        <f>'Part II-Sources of Funds'!M42</f>
        <v>40</v>
      </c>
      <c r="N86" s="1235" t="str">
        <f>'Part II-Sources of Funds'!N42</f>
        <v>Amortizing</v>
      </c>
      <c r="O86" s="1235"/>
      <c r="P86" s="1851">
        <f>'Part II-Sources of Funds'!P42</f>
        <v>318556.61698247807</v>
      </c>
      <c r="Q86" s="1851"/>
    </row>
    <row r="87" spans="1:17">
      <c r="A87" s="1235"/>
      <c r="B87" s="1235" t="s">
        <v>431</v>
      </c>
      <c r="C87" s="1235"/>
      <c r="D87" s="1235"/>
      <c r="E87" s="1235">
        <f>'Part II-Sources of Funds'!E43</f>
        <v>0</v>
      </c>
      <c r="F87" s="1235"/>
      <c r="G87" s="1235"/>
      <c r="H87" s="1235"/>
      <c r="I87" s="1849">
        <f>'Part II-Sources of Funds'!I43</f>
        <v>0</v>
      </c>
      <c r="J87" s="1849"/>
      <c r="K87" s="1850">
        <f>'Part II-Sources of Funds'!K43</f>
        <v>0</v>
      </c>
      <c r="L87" s="1086">
        <f>'Part II-Sources of Funds'!L43</f>
        <v>0</v>
      </c>
      <c r="M87" s="1086">
        <f>'Part II-Sources of Funds'!M43</f>
        <v>0</v>
      </c>
      <c r="N87" s="1235">
        <f>'Part II-Sources of Funds'!N43</f>
        <v>0</v>
      </c>
      <c r="O87" s="1235"/>
      <c r="P87" s="1851" t="str">
        <f>'Part II-Sources of Funds'!P43</f>
        <v/>
      </c>
      <c r="Q87" s="1851"/>
    </row>
    <row r="88" spans="1:17">
      <c r="A88" s="1235"/>
      <c r="B88" s="1235" t="s">
        <v>433</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c r="A89" s="1235"/>
      <c r="B89" s="1235" t="s">
        <v>435</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c r="A90" s="1235"/>
      <c r="B90" s="1235" t="s">
        <v>437</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c r="A91" s="1235"/>
      <c r="B91" s="1235" t="s">
        <v>439</v>
      </c>
      <c r="C91" s="1235"/>
      <c r="D91" s="1852">
        <f>'Part II-Sources of Funds'!D47</f>
        <v>1.3817105263157894E-2</v>
      </c>
      <c r="E91" s="1235" t="str">
        <f>'Part II-Sources of Funds'!E47</f>
        <v>Westchester Ventures, LLC</v>
      </c>
      <c r="F91" s="1235"/>
      <c r="G91" s="1235"/>
      <c r="H91" s="1235"/>
      <c r="I91" s="1849">
        <f>'Part II-Sources of Funds'!I47</f>
        <v>31503</v>
      </c>
      <c r="J91" s="1236"/>
      <c r="K91" s="1850">
        <f>'Part II-Sources of Funds'!K47</f>
        <v>0</v>
      </c>
      <c r="L91" s="1086">
        <f>'Part II-Sources of Funds'!L47</f>
        <v>15</v>
      </c>
      <c r="M91" s="1086">
        <f>'Part II-Sources of Funds'!M47</f>
        <v>0</v>
      </c>
      <c r="N91" s="1235" t="str">
        <f>'Part II-Sources of Funds'!N47</f>
        <v>Cash Flow</v>
      </c>
      <c r="O91" s="1235"/>
      <c r="P91" s="1851">
        <f>'Part II-Sources of Funds'!P47</f>
        <v>0</v>
      </c>
      <c r="Q91" s="1851"/>
    </row>
    <row r="92" spans="1:17" ht="13.5">
      <c r="A92" s="1235"/>
      <c r="B92" s="1235"/>
      <c r="C92" s="1235"/>
      <c r="D92" s="1235"/>
      <c r="E92" s="1235"/>
      <c r="F92" s="1235"/>
      <c r="G92" s="1235"/>
      <c r="H92" s="1235"/>
      <c r="I92" s="1853"/>
      <c r="J92" s="1854"/>
      <c r="K92" s="1850"/>
      <c r="L92" s="1086"/>
      <c r="M92" s="1086"/>
      <c r="N92" s="1855"/>
      <c r="O92" s="1855"/>
      <c r="P92" s="1086"/>
      <c r="Q92" s="1086"/>
    </row>
    <row r="93" spans="1:17" ht="13.5">
      <c r="A93" s="1235"/>
      <c r="B93" s="1741" t="s">
        <v>440</v>
      </c>
      <c r="C93" s="1235"/>
      <c r="D93" s="1741"/>
      <c r="E93" s="1741" t="s">
        <v>441</v>
      </c>
      <c r="F93" s="1856">
        <f>'Part II-Sources of Funds'!F49</f>
        <v>1329829.2221587377</v>
      </c>
      <c r="G93" s="1856"/>
      <c r="H93" s="1857" t="s">
        <v>442</v>
      </c>
      <c r="I93" s="1856">
        <f>'Part II-Sources of Funds'!I49</f>
        <v>31503</v>
      </c>
      <c r="J93" s="1856"/>
      <c r="K93" s="1857" t="s">
        <v>443</v>
      </c>
      <c r="L93" s="1858">
        <f>'Part II-Sources of Funds'!L49</f>
        <v>2.3689508002283605E-2</v>
      </c>
      <c r="M93" s="1858"/>
      <c r="N93" s="1851" t="s">
        <v>444</v>
      </c>
      <c r="O93" s="1851"/>
      <c r="P93" s="1236">
        <f>'Part II-Sources of Funds'!P49</f>
        <v>0</v>
      </c>
      <c r="Q93" s="1236"/>
    </row>
    <row r="94" spans="1:17" ht="13.5">
      <c r="A94" s="1235"/>
      <c r="B94" s="1235"/>
      <c r="C94" s="1235"/>
      <c r="D94" s="1235"/>
      <c r="E94" s="1235"/>
      <c r="F94" s="1235"/>
      <c r="G94" s="1235"/>
      <c r="H94" s="1235"/>
      <c r="I94" s="1853"/>
      <c r="J94" s="1854"/>
      <c r="K94" s="1850"/>
      <c r="L94" s="1086"/>
      <c r="M94" s="1086"/>
      <c r="N94" s="1855"/>
      <c r="O94" s="1855"/>
      <c r="P94" s="1086"/>
      <c r="Q94" s="1086"/>
    </row>
    <row r="95" spans="1:17">
      <c r="A95" s="1235"/>
      <c r="B95" s="1235" t="s">
        <v>403</v>
      </c>
      <c r="C95" s="1235"/>
      <c r="D95" s="1235"/>
      <c r="E95" s="1235">
        <f>'Part II-Sources of Funds'!E51</f>
        <v>0</v>
      </c>
      <c r="F95" s="1235"/>
      <c r="G95" s="1235"/>
      <c r="H95" s="1235"/>
      <c r="I95" s="1849">
        <f>'Part II-Sources of Funds'!I51</f>
        <v>0</v>
      </c>
      <c r="J95" s="1849"/>
      <c r="K95" s="1235"/>
      <c r="L95" s="1235"/>
      <c r="M95" s="1235"/>
      <c r="N95" s="1235"/>
      <c r="O95" s="1235"/>
      <c r="P95" s="1086" t="s">
        <v>446</v>
      </c>
      <c r="Q95" s="1235"/>
    </row>
    <row r="96" spans="1:17" ht="13.5">
      <c r="A96" s="1235"/>
      <c r="B96" s="1235" t="s">
        <v>405</v>
      </c>
      <c r="C96" s="1235"/>
      <c r="D96" s="1235"/>
      <c r="E96" s="1235">
        <f>'Part II-Sources of Funds'!E52</f>
        <v>0</v>
      </c>
      <c r="F96" s="1235"/>
      <c r="G96" s="1235"/>
      <c r="H96" s="1235"/>
      <c r="I96" s="1849">
        <f>'Part II-Sources of Funds'!I52</f>
        <v>0</v>
      </c>
      <c r="J96" s="1849"/>
      <c r="K96" s="1741"/>
      <c r="L96" s="1859" t="s">
        <v>448</v>
      </c>
      <c r="M96" s="1859"/>
      <c r="N96" s="1860" t="s">
        <v>449</v>
      </c>
      <c r="O96" s="1860"/>
      <c r="P96" s="1861" t="s">
        <v>450</v>
      </c>
      <c r="Q96" s="1235"/>
    </row>
    <row r="97" spans="1:17" ht="13.5">
      <c r="A97" s="1235"/>
      <c r="B97" s="1235" t="s">
        <v>409</v>
      </c>
      <c r="C97" s="1235"/>
      <c r="D97" s="1235"/>
      <c r="E97" s="1235" t="str">
        <f>'Part II-Sources of Funds'!E53</f>
        <v>Affordable Equity Partners, Inc</v>
      </c>
      <c r="F97" s="1235"/>
      <c r="G97" s="1235"/>
      <c r="H97" s="1235"/>
      <c r="I97" s="1849">
        <f>'Part II-Sources of Funds'!I53</f>
        <v>10527894</v>
      </c>
      <c r="J97" s="1849"/>
      <c r="K97" s="1741"/>
      <c r="L97" s="1862">
        <f>'Part III-A-Uses of Funds'!$J$192*10*'Part III-A-Uses of Funds'!$N$183</f>
        <v>10530000</v>
      </c>
      <c r="M97" s="1862"/>
      <c r="N97" s="1863">
        <f>I97-L97</f>
        <v>-2106</v>
      </c>
      <c r="O97" s="1863"/>
      <c r="P97" s="1864">
        <f>I97/I107</f>
        <v>0.51319263972563411</v>
      </c>
      <c r="Q97" s="1235"/>
    </row>
    <row r="98" spans="1:17" ht="13.5">
      <c r="A98" s="1235"/>
      <c r="B98" s="1235" t="s">
        <v>411</v>
      </c>
      <c r="C98" s="1235"/>
      <c r="D98" s="1235"/>
      <c r="E98" s="1235" t="str">
        <f>'Part II-Sources of Funds'!E54</f>
        <v>Affordable Equity Partners, Inc</v>
      </c>
      <c r="F98" s="1235"/>
      <c r="G98" s="1235"/>
      <c r="H98" s="1235"/>
      <c r="I98" s="1849">
        <f>'Part II-Sources of Funds'!I54</f>
        <v>5805000</v>
      </c>
      <c r="J98" s="1849"/>
      <c r="K98" s="1741"/>
      <c r="L98" s="1862">
        <f>'Part III-A-Uses of Funds'!$J$192*10*'Part III-A-Uses of Funds'!$Q$183</f>
        <v>5805000</v>
      </c>
      <c r="M98" s="1862"/>
      <c r="N98" s="1863">
        <f>I98-L98</f>
        <v>0</v>
      </c>
      <c r="O98" s="1863"/>
      <c r="P98" s="1864">
        <f>I98/I107</f>
        <v>0.2829704852278439</v>
      </c>
      <c r="Q98" s="1235"/>
    </row>
    <row r="99" spans="1:17" ht="13.5">
      <c r="A99" s="1235"/>
      <c r="B99" s="1235" t="s">
        <v>454</v>
      </c>
      <c r="C99" s="1235"/>
      <c r="D99" s="1235"/>
      <c r="E99" s="1235">
        <f>'Part II-Sources of Funds'!E55</f>
        <v>0</v>
      </c>
      <c r="F99" s="1235"/>
      <c r="G99" s="1235"/>
      <c r="H99" s="1235"/>
      <c r="I99" s="1849">
        <f>'Part II-Sources of Funds'!I55</f>
        <v>0</v>
      </c>
      <c r="J99" s="1849"/>
      <c r="K99" s="1741"/>
      <c r="L99" s="1741"/>
      <c r="M99" s="1741"/>
      <c r="N99" s="1741"/>
      <c r="O99" s="1741"/>
      <c r="P99" s="1864">
        <f>SUM(P97:P98)</f>
        <v>0.79616312495347796</v>
      </c>
      <c r="Q99" s="1235"/>
    </row>
    <row r="100" spans="1:17" ht="13.5">
      <c r="A100" s="1235"/>
      <c r="B100" s="1235" t="s">
        <v>455</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5">
      <c r="A101" s="1235"/>
      <c r="B101" s="1235" t="s">
        <v>456</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5">
      <c r="A102" s="1235"/>
      <c r="B102" s="1235" t="s">
        <v>457</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5">
      <c r="A103" s="1235"/>
      <c r="B103" s="1235" t="s">
        <v>435</v>
      </c>
      <c r="C103" s="1235" t="str">
        <f>'Part II-Sources of Funds'!C59</f>
        <v>GP &amp; LP Equity</v>
      </c>
      <c r="D103" s="1235"/>
      <c r="E103" s="1235">
        <f>'Part II-Sources of Funds'!E59</f>
        <v>0</v>
      </c>
      <c r="F103" s="1235"/>
      <c r="G103" s="1235"/>
      <c r="H103" s="1235"/>
      <c r="I103" s="1849">
        <f>'Part II-Sources of Funds'!I59</f>
        <v>110</v>
      </c>
      <c r="J103" s="1849"/>
      <c r="K103" s="1741"/>
      <c r="L103" s="1741"/>
      <c r="M103" s="1235"/>
      <c r="N103" s="1235"/>
      <c r="O103" s="1235"/>
      <c r="P103" s="1235"/>
      <c r="Q103" s="1235"/>
    </row>
    <row r="104" spans="1:17">
      <c r="A104" s="1235"/>
      <c r="B104" s="1235" t="s">
        <v>435</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c r="A105" s="1235"/>
      <c r="B105" s="1235" t="s">
        <v>435</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5">
      <c r="A106" s="1235"/>
      <c r="B106" s="1821" t="s">
        <v>461</v>
      </c>
      <c r="C106" s="1235"/>
      <c r="D106" s="1235"/>
      <c r="E106" s="1235"/>
      <c r="F106" s="1235"/>
      <c r="G106" s="1235"/>
      <c r="H106" s="1741"/>
      <c r="I106" s="1847">
        <f>SUM(I86:J91)+SUM(I95:J105)</f>
        <v>20514507</v>
      </c>
      <c r="J106" s="1847"/>
      <c r="K106" s="1235"/>
      <c r="L106" s="1086"/>
      <c r="M106" s="1235"/>
      <c r="N106" s="1235"/>
      <c r="O106" s="1235"/>
      <c r="P106" s="1235"/>
      <c r="Q106" s="1235"/>
    </row>
    <row r="107" spans="1:17" ht="13.5">
      <c r="A107" s="1235"/>
      <c r="B107" s="1821" t="s">
        <v>462</v>
      </c>
      <c r="C107" s="1235"/>
      <c r="D107" s="1235"/>
      <c r="E107" s="1235"/>
      <c r="F107" s="1235"/>
      <c r="G107" s="1235"/>
      <c r="H107" s="1741"/>
      <c r="I107" s="1847">
        <f>'Part III-A-Uses of Funds'!$G$147</f>
        <v>20514507</v>
      </c>
      <c r="J107" s="1847"/>
      <c r="K107" s="1235"/>
      <c r="L107" s="1086"/>
      <c r="M107" s="1235"/>
      <c r="N107" s="1235"/>
      <c r="O107" s="1235"/>
      <c r="P107" s="1235"/>
      <c r="Q107" s="1235"/>
    </row>
    <row r="108" spans="1:17" ht="13.5">
      <c r="A108" s="1235"/>
      <c r="B108" s="1821" t="s">
        <v>463</v>
      </c>
      <c r="C108" s="1235"/>
      <c r="D108" s="1235"/>
      <c r="E108" s="1235"/>
      <c r="F108" s="1235"/>
      <c r="G108" s="1235"/>
      <c r="H108" s="1741"/>
      <c r="I108" s="1848">
        <f>I106-I107</f>
        <v>0</v>
      </c>
      <c r="J108" s="1848"/>
      <c r="K108" s="1235"/>
      <c r="L108" s="1086"/>
      <c r="M108" s="1235"/>
      <c r="N108" s="1235"/>
      <c r="O108" s="1235"/>
      <c r="P108" s="1235"/>
      <c r="Q108" s="1235"/>
    </row>
    <row r="109" spans="1:17">
      <c r="A109" s="1235" t="s">
        <v>464</v>
      </c>
      <c r="B109" s="1821"/>
      <c r="C109" s="1235"/>
      <c r="D109" s="1235"/>
      <c r="E109" s="1235"/>
      <c r="F109" s="1235"/>
      <c r="G109" s="1235"/>
      <c r="H109" s="1854"/>
      <c r="I109" s="1854"/>
      <c r="J109" s="270"/>
      <c r="K109" s="1235"/>
      <c r="L109" s="1086"/>
      <c r="M109" s="1235"/>
      <c r="N109" s="1235"/>
      <c r="O109" s="1235"/>
      <c r="P109" s="1235"/>
      <c r="Q109" s="1235"/>
    </row>
    <row r="110" spans="1:17">
      <c r="A110" s="270"/>
      <c r="B110" s="270"/>
      <c r="C110" s="270"/>
      <c r="D110" s="270"/>
      <c r="E110" s="270"/>
      <c r="F110" s="270"/>
      <c r="G110" s="270"/>
      <c r="H110" s="270"/>
      <c r="I110" s="270"/>
      <c r="J110" s="270"/>
      <c r="K110" s="270"/>
      <c r="L110" s="270"/>
      <c r="M110" s="270"/>
      <c r="N110" s="270"/>
      <c r="O110" s="270"/>
      <c r="P110" s="270"/>
      <c r="Q110" s="270"/>
    </row>
    <row r="111" spans="1:17" ht="13.5">
      <c r="A111" s="1815" t="s">
        <v>43</v>
      </c>
      <c r="B111" s="1815" t="s">
        <v>67</v>
      </c>
      <c r="C111" s="270"/>
      <c r="D111" s="270"/>
      <c r="E111" s="270"/>
      <c r="F111" s="270"/>
      <c r="G111" s="270"/>
      <c r="H111" s="270"/>
      <c r="I111" s="270"/>
      <c r="J111" s="270"/>
      <c r="K111" s="1740"/>
      <c r="L111" s="1740"/>
      <c r="M111" s="1815" t="s">
        <v>43</v>
      </c>
      <c r="N111" s="1815" t="s">
        <v>69</v>
      </c>
      <c r="O111" s="270"/>
      <c r="P111" s="270"/>
      <c r="Q111" s="270"/>
    </row>
    <row r="112" spans="1:17" ht="13.5">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c r="A116" s="1815" t="str">
        <f>CONCATENATE("PART THREE (A):  USES OF FUNDS","  -  ",'Part I-Project Identification'!$O$7," ",'Part I-Project Identification'!$F$27,", ",'Part I-Project Identification'!F142,", ",'Part I-Project Identification'!J142," County")</f>
        <v>PART THREE (A):  USES OF FUNDS  -  2026-0xx Westchester Village II,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Westchester Village II, ,  County</v>
      </c>
      <c r="X116" s="1815"/>
      <c r="Y116" s="1235"/>
      <c r="Z116" s="1235"/>
      <c r="AA116" s="1235"/>
      <c r="AB116" s="1235"/>
      <c r="AC116" s="1235"/>
      <c r="AD116" s="1235"/>
      <c r="AE116" s="1235"/>
      <c r="AF116" s="1235"/>
      <c r="AG116" s="1235"/>
      <c r="AH116" s="1235"/>
      <c r="AI116" s="1235"/>
    </row>
    <row r="117" spans="1:35">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6.5">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21</v>
      </c>
      <c r="B120" s="1865" t="s">
        <v>511</v>
      </c>
      <c r="C120" s="1235"/>
      <c r="D120" s="1817" t="str">
        <f>'Part I-Project Identification'!$A$6</f>
        <v>May XX, 2026</v>
      </c>
      <c r="E120" s="1817"/>
      <c r="F120" s="1817"/>
      <c r="G120" s="1817"/>
      <c r="H120" s="1817"/>
      <c r="I120" s="1865"/>
      <c r="J120" s="1815" t="s">
        <v>512</v>
      </c>
      <c r="K120" s="1815"/>
      <c r="L120" s="1844"/>
      <c r="M120" s="1866" t="s">
        <v>513</v>
      </c>
      <c r="N120" s="1866"/>
      <c r="O120" s="1235"/>
      <c r="P120" s="1815" t="s">
        <v>514</v>
      </c>
      <c r="Q120" s="1815"/>
      <c r="R120" s="1235"/>
      <c r="S120" s="1815" t="s">
        <v>515</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5">
      <c r="A121" s="1235"/>
      <c r="B121" s="1235"/>
      <c r="C121" s="1235"/>
      <c r="D121" s="1817"/>
      <c r="E121" s="1817"/>
      <c r="F121" s="1817"/>
      <c r="G121" s="1815" t="s">
        <v>516</v>
      </c>
      <c r="H121" s="1815"/>
      <c r="I121" s="1235"/>
      <c r="J121" s="1815"/>
      <c r="K121" s="1815"/>
      <c r="L121" s="1844"/>
      <c r="M121" s="1866"/>
      <c r="N121" s="1866"/>
      <c r="O121" s="1235"/>
      <c r="P121" s="1815"/>
      <c r="Q121" s="1815"/>
      <c r="R121" s="1235"/>
      <c r="S121" s="1815"/>
      <c r="T121" s="1815"/>
      <c r="U121" s="1235"/>
      <c r="V121" s="269" t="s">
        <v>349</v>
      </c>
      <c r="W121" s="1235"/>
      <c r="X121" s="269"/>
      <c r="Y121" s="1235"/>
      <c r="Z121" s="1235"/>
      <c r="AA121" s="1235"/>
      <c r="AB121" s="1235"/>
      <c r="AC121" s="1235"/>
      <c r="AD121" s="1235"/>
      <c r="AE121" s="1235"/>
      <c r="AF121" s="1235"/>
      <c r="AG121" s="1235"/>
      <c r="AH121" s="1235"/>
      <c r="AI121" s="1235"/>
    </row>
    <row r="122" spans="1:35">
      <c r="A122" s="1235"/>
      <c r="B122" s="1815" t="s">
        <v>517</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c r="A123" s="1235"/>
      <c r="B123" s="1235" t="s">
        <v>518</v>
      </c>
      <c r="C123" s="1235"/>
      <c r="D123" s="1235"/>
      <c r="E123" s="1235"/>
      <c r="F123" s="1235"/>
      <c r="G123" s="1844">
        <f>'Part III-A-Uses of Funds'!G9</f>
        <v>12000</v>
      </c>
      <c r="H123" s="1844"/>
      <c r="I123" s="1235"/>
      <c r="J123" s="1844">
        <f>'Part III-A-Uses of Funds'!J9</f>
        <v>12000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c r="A124" s="1235"/>
      <c r="B124" s="1235" t="s">
        <v>519</v>
      </c>
      <c r="C124" s="1235"/>
      <c r="D124" s="1235"/>
      <c r="E124" s="1235"/>
      <c r="F124" s="1235"/>
      <c r="G124" s="1844">
        <f>'Part III-A-Uses of Funds'!G10</f>
        <v>12000</v>
      </c>
      <c r="H124" s="1844"/>
      <c r="I124" s="1235"/>
      <c r="J124" s="1844">
        <f>'Part III-A-Uses of Funds'!J10</f>
        <v>12000</v>
      </c>
      <c r="K124" s="1844"/>
      <c r="L124" s="1833"/>
      <c r="M124" s="1844">
        <f>'Part III-A-Uses of Funds'!M10</f>
        <v>0</v>
      </c>
      <c r="N124" s="1844"/>
      <c r="O124" s="1235"/>
      <c r="P124" s="1844">
        <f>'Part III-A-Uses of Funds'!P10</f>
        <v>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c r="A125" s="1235"/>
      <c r="B125" s="1235" t="s">
        <v>520</v>
      </c>
      <c r="C125" s="1235"/>
      <c r="D125" s="1235"/>
      <c r="E125" s="1235"/>
      <c r="F125" s="1235"/>
      <c r="G125" s="1844">
        <f>'Part III-A-Uses of Funds'!G11</f>
        <v>20000</v>
      </c>
      <c r="H125" s="1844"/>
      <c r="I125" s="1235"/>
      <c r="J125" s="1844">
        <f>'Part III-A-Uses of Funds'!J11</f>
        <v>20000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c r="A126" s="1235"/>
      <c r="B126" s="1235" t="s">
        <v>521</v>
      </c>
      <c r="C126" s="1235"/>
      <c r="D126" s="1235"/>
      <c r="E126" s="1235"/>
      <c r="F126" s="1235"/>
      <c r="G126" s="1844">
        <f>'Part III-A-Uses of Funds'!G12</f>
        <v>20000</v>
      </c>
      <c r="H126" s="1844"/>
      <c r="I126" s="1235"/>
      <c r="J126" s="1844">
        <f>'Part III-A-Uses of Funds'!J12</f>
        <v>20000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c r="A127" s="1235"/>
      <c r="B127" s="1235" t="s">
        <v>522</v>
      </c>
      <c r="C127" s="1235"/>
      <c r="D127" s="1235"/>
      <c r="E127" s="1235"/>
      <c r="F127" s="1235"/>
      <c r="G127" s="1844">
        <f>'Part III-A-Uses of Funds'!G13</f>
        <v>25000</v>
      </c>
      <c r="H127" s="1844"/>
      <c r="I127" s="1235"/>
      <c r="J127" s="1844">
        <f>'Part III-A-Uses of Funds'!J13</f>
        <v>25000</v>
      </c>
      <c r="K127" s="1844"/>
      <c r="L127" s="1833"/>
      <c r="M127" s="1844">
        <f>'Part III-A-Uses of Funds'!M13</f>
        <v>0</v>
      </c>
      <c r="N127" s="1844"/>
      <c r="O127" s="1235"/>
      <c r="P127" s="1844">
        <f>'Part III-A-Uses of Funds'!P13</f>
        <v>0</v>
      </c>
      <c r="Q127" s="1844"/>
      <c r="R127" s="1235"/>
      <c r="S127" s="1844">
        <f>'Part III-A-Uses of Funds'!S13</f>
        <v>0</v>
      </c>
      <c r="T127" s="1844"/>
      <c r="U127" s="1235"/>
      <c r="V127" s="1868"/>
      <c r="W127" s="1869"/>
      <c r="X127" s="1869"/>
      <c r="Y127" s="1235"/>
      <c r="Z127" s="1235"/>
      <c r="AA127" s="1235"/>
      <c r="AB127" s="1235"/>
      <c r="AC127" s="1235"/>
      <c r="AD127" s="1235"/>
      <c r="AE127" s="1235"/>
      <c r="AF127" s="1235"/>
      <c r="AG127" s="1235"/>
      <c r="AH127" s="1235"/>
      <c r="AI127" s="1235"/>
    </row>
    <row r="128" spans="1:35">
      <c r="A128" s="1235"/>
      <c r="B128" s="1235" t="s">
        <v>523</v>
      </c>
      <c r="C128" s="1235"/>
      <c r="D128" s="1235"/>
      <c r="E128" s="1235"/>
      <c r="F128" s="1235"/>
      <c r="G128" s="1844">
        <f>'Part III-A-Uses of Funds'!G14</f>
        <v>0</v>
      </c>
      <c r="H128" s="1844"/>
      <c r="I128" s="1235"/>
      <c r="J128" s="1844">
        <f>'Part III-A-Uses of Funds'!J14</f>
        <v>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524</v>
      </c>
      <c r="C129" s="1741" t="str">
        <f>'Part III-A-Uses of Funds'!C15</f>
        <v>&lt;&lt; Enter description here; provide detail &amp; justification in tab Part III-b &gt;&gt;</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527</v>
      </c>
      <c r="C130" s="1741" t="str">
        <f>'Part III-A-Uses of Funds'!C16</f>
        <v>&lt;&lt; Enter description here; provide detail &amp; justification in tab Part III-b &gt;&gt;</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529</v>
      </c>
      <c r="C131" s="1741" t="str">
        <f>'Part III-A-Uses of Funds'!C17</f>
        <v>&lt;&lt; Enter description here; provide detail &amp; justification in tab Part III-b &gt;&gt;</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c r="A132" s="1235"/>
      <c r="B132" s="1235"/>
      <c r="C132" s="1235"/>
      <c r="D132" s="1235"/>
      <c r="E132" s="1235"/>
      <c r="F132" s="1872" t="s">
        <v>531</v>
      </c>
      <c r="G132" s="1844">
        <f>SUM(G123:G131)</f>
        <v>89000</v>
      </c>
      <c r="H132" s="1844"/>
      <c r="I132" s="1235"/>
      <c r="J132" s="1844">
        <f>SUM(J123:J131)</f>
        <v>89000</v>
      </c>
      <c r="K132" s="1844"/>
      <c r="L132" s="1833"/>
      <c r="M132" s="1844">
        <f>SUM(M123:M131)</f>
        <v>0</v>
      </c>
      <c r="N132" s="1844"/>
      <c r="O132" s="1235"/>
      <c r="P132" s="1844">
        <f>SUM(P123:P131)</f>
        <v>0</v>
      </c>
      <c r="Q132" s="1844"/>
      <c r="R132" s="1235"/>
      <c r="S132" s="1844">
        <f>SUM(S123:S131)</f>
        <v>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c r="A133" s="1235"/>
      <c r="B133" s="1815" t="s">
        <v>533</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c r="A134" s="1235"/>
      <c r="B134" s="1235" t="s">
        <v>534</v>
      </c>
      <c r="C134" s="1235"/>
      <c r="D134" s="1235"/>
      <c r="E134" s="1874" t="s">
        <v>535</v>
      </c>
      <c r="F134" s="1875">
        <f>IF('Part I-Project Identification'!$O$29="","",G134/'Part I-Project Identification'!$O$29)</f>
        <v>0</v>
      </c>
      <c r="G134" s="1844">
        <f>'Part III-A-Uses of Funds'!G20</f>
        <v>0</v>
      </c>
      <c r="H134" s="1844"/>
      <c r="I134" s="1235"/>
      <c r="J134" s="1833"/>
      <c r="K134" s="1844"/>
      <c r="L134" s="1833"/>
      <c r="M134" s="1833"/>
      <c r="N134" s="1844"/>
      <c r="O134" s="1235"/>
      <c r="P134" s="1833"/>
      <c r="Q134" s="1844"/>
      <c r="R134" s="1235"/>
      <c r="S134" s="1844">
        <f>'Part III-A-Uses of Funds'!S20</f>
        <v>0</v>
      </c>
      <c r="T134" s="1844"/>
      <c r="U134" s="1235"/>
      <c r="V134" s="1868"/>
      <c r="W134" s="1869"/>
      <c r="X134" s="1869"/>
      <c r="Y134" s="1235"/>
      <c r="Z134" s="1235"/>
      <c r="AA134" s="1235"/>
      <c r="AB134" s="1235"/>
      <c r="AC134" s="1235"/>
      <c r="AD134" s="1235"/>
      <c r="AE134" s="1235"/>
      <c r="AF134" s="1235"/>
      <c r="AG134" s="1235"/>
      <c r="AH134" s="1235"/>
      <c r="AI134" s="1235"/>
    </row>
    <row r="135" spans="1:35">
      <c r="A135" s="1235"/>
      <c r="B135" s="1235" t="s">
        <v>536</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c r="A136" s="1235"/>
      <c r="B136" s="1235" t="s">
        <v>537</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c r="A137" s="1235"/>
      <c r="B137" s="1235" t="s">
        <v>538</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c r="A138" s="1235"/>
      <c r="B138" s="1235"/>
      <c r="C138" s="1235"/>
      <c r="D138" s="1235"/>
      <c r="E138" s="1235"/>
      <c r="F138" s="1872" t="s">
        <v>531</v>
      </c>
      <c r="G138" s="1844">
        <f>SUM(G134:G137)</f>
        <v>0</v>
      </c>
      <c r="H138" s="1844"/>
      <c r="I138" s="1235"/>
      <c r="J138" s="1833"/>
      <c r="K138" s="1844"/>
      <c r="L138" s="1833"/>
      <c r="M138" s="1844">
        <f>SUM(M136:M137)</f>
        <v>0</v>
      </c>
      <c r="N138" s="1844"/>
      <c r="O138" s="1235"/>
      <c r="P138" s="1833"/>
      <c r="Q138" s="1844"/>
      <c r="R138" s="1235"/>
      <c r="S138" s="1844">
        <f>SUM(S134:S137)</f>
        <v>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c r="A139" s="1235"/>
      <c r="B139" s="1815" t="s">
        <v>540</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c r="A140" s="1235"/>
      <c r="B140" s="1235" t="s">
        <v>541</v>
      </c>
      <c r="C140" s="1235"/>
      <c r="D140" s="1235"/>
      <c r="E140" s="1874" t="s">
        <v>535</v>
      </c>
      <c r="F140" s="1875">
        <f>IF('Part I-Project Identification'!$O$29="","",G140/'Part I-Project Identification'!$O$29)</f>
        <v>322580.6451612903</v>
      </c>
      <c r="G140" s="1844">
        <f>'Part III-A-Uses of Funds'!G26</f>
        <v>2400000</v>
      </c>
      <c r="H140" s="1844"/>
      <c r="I140" s="1235"/>
      <c r="J140" s="1844">
        <f>'Part III-A-Uses of Funds'!J26</f>
        <v>2280000</v>
      </c>
      <c r="K140" s="1844"/>
      <c r="L140" s="1833"/>
      <c r="M140" s="1844">
        <f>'Part III-A-Uses of Funds'!M26</f>
        <v>0</v>
      </c>
      <c r="N140" s="1844"/>
      <c r="O140" s="1235"/>
      <c r="P140" s="1844">
        <f>'Part III-A-Uses of Funds'!P26</f>
        <v>0</v>
      </c>
      <c r="Q140" s="1844"/>
      <c r="R140" s="1235"/>
      <c r="S140" s="1844">
        <f>'Part III-A-Uses of Funds'!S26</f>
        <v>120000</v>
      </c>
      <c r="T140" s="1844"/>
      <c r="U140" s="1235"/>
      <c r="V140" s="1868"/>
      <c r="W140" s="1869"/>
      <c r="X140" s="1869"/>
      <c r="Y140" s="1235"/>
      <c r="Z140" s="1235"/>
      <c r="AA140" s="1235"/>
      <c r="AB140" s="1235"/>
      <c r="AC140" s="1235"/>
      <c r="AD140" s="1235"/>
      <c r="AE140" s="1235"/>
      <c r="AF140" s="1235"/>
      <c r="AG140" s="1235"/>
      <c r="AH140" s="1235"/>
      <c r="AI140" s="1235"/>
    </row>
    <row r="141" spans="1:35">
      <c r="A141" s="1235"/>
      <c r="B141" s="1235" t="s">
        <v>542</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c r="A142" s="1235"/>
      <c r="B142" s="1235"/>
      <c r="C142" s="1235"/>
      <c r="D142" s="1235"/>
      <c r="E142" s="1235"/>
      <c r="F142" s="1872" t="s">
        <v>531</v>
      </c>
      <c r="G142" s="1844">
        <f>SUM(G140:G141)</f>
        <v>2400000</v>
      </c>
      <c r="H142" s="1844"/>
      <c r="I142" s="1235"/>
      <c r="J142" s="1844">
        <f>SUM(J140:J141)</f>
        <v>2280000</v>
      </c>
      <c r="K142" s="1844"/>
      <c r="L142" s="1833"/>
      <c r="M142" s="1844">
        <f>M140</f>
        <v>0</v>
      </c>
      <c r="N142" s="1844"/>
      <c r="O142" s="1235"/>
      <c r="P142" s="1844">
        <f>P140</f>
        <v>0</v>
      </c>
      <c r="Q142" s="1844"/>
      <c r="R142" s="1235"/>
      <c r="S142" s="1844">
        <f>SUM(S140:S141)</f>
        <v>120000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c r="A143" s="1235"/>
      <c r="B143" s="1815" t="s">
        <v>544</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c r="A144" s="1235"/>
      <c r="B144" s="1235" t="s">
        <v>545</v>
      </c>
      <c r="C144" s="1235"/>
      <c r="D144" s="1235"/>
      <c r="E144" s="1235"/>
      <c r="F144" s="1235"/>
      <c r="G144" s="1844">
        <f>'Part III-A-Uses of Funds'!G30</f>
        <v>9700000</v>
      </c>
      <c r="H144" s="1844"/>
      <c r="I144" s="1235"/>
      <c r="J144" s="1844">
        <f>'Part III-A-Uses of Funds'!J30</f>
        <v>9700000</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c r="A145" s="1235"/>
      <c r="B145" s="1235" t="s">
        <v>546</v>
      </c>
      <c r="C145" s="1235"/>
      <c r="D145" s="1235"/>
      <c r="E145" s="1235"/>
      <c r="F145" s="1235"/>
      <c r="G145" s="1844">
        <f>'Part III-A-Uses of Funds'!G31</f>
        <v>0</v>
      </c>
      <c r="H145" s="1844"/>
      <c r="I145" s="1235"/>
      <c r="J145" s="1844">
        <f>'Part III-A-Uses of Funds'!J31</f>
        <v>0</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c r="A146" s="1235"/>
      <c r="B146" s="1235" t="s">
        <v>547</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c r="A147" s="1235"/>
      <c r="B147" s="1235" t="s">
        <v>548</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c r="A148" s="270"/>
      <c r="B148" s="1235" t="s">
        <v>549</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c r="A149" s="270"/>
      <c r="B149" s="1235" t="s">
        <v>550</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c r="A150" s="1235"/>
      <c r="B150" s="1235"/>
      <c r="C150" s="1877"/>
      <c r="D150" s="1877"/>
      <c r="E150" s="1878"/>
      <c r="F150" s="1872" t="s">
        <v>531</v>
      </c>
      <c r="G150" s="1844">
        <f>SUM(G144:G149)</f>
        <v>9700000</v>
      </c>
      <c r="H150" s="1844"/>
      <c r="I150" s="1235"/>
      <c r="J150" s="1844">
        <f>SUM(J144:J149)</f>
        <v>9700000</v>
      </c>
      <c r="K150" s="1844"/>
      <c r="L150" s="1833"/>
      <c r="M150" s="1844">
        <f>SUM(M144:M149)</f>
        <v>0</v>
      </c>
      <c r="N150" s="1844"/>
      <c r="O150" s="1235"/>
      <c r="P150" s="1844">
        <f>SUM(P144:P149)</f>
        <v>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5">
      <c r="A151" s="1235"/>
      <c r="B151" s="1815" t="s">
        <v>552</v>
      </c>
      <c r="C151" s="1235"/>
      <c r="D151" s="1742" t="s">
        <v>553</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5">
      <c r="A152" s="1235"/>
      <c r="B152" s="1235" t="s">
        <v>554</v>
      </c>
      <c r="C152" s="1235"/>
      <c r="D152" s="1881">
        <f>'DCA Underwriting Assumptions'!$R$52</f>
        <v>0.06</v>
      </c>
      <c r="E152" s="1882">
        <f>ROUNDDOWN(D152*(G142+G150),0)</f>
        <v>726000</v>
      </c>
      <c r="F152" s="1881">
        <f>IF(($G$28+$G$36)=0,0,G152/($G$28+$G$36))</f>
        <v>0</v>
      </c>
      <c r="G152" s="1844">
        <f>'Part III-A-Uses of Funds'!G38</f>
        <v>726000</v>
      </c>
      <c r="H152" s="1844"/>
      <c r="I152" s="1235"/>
      <c r="J152" s="1844">
        <f>'Part III-A-Uses of Funds'!J38</f>
        <v>726000</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5">
      <c r="A153" s="1235"/>
      <c r="B153" s="1235" t="s">
        <v>555</v>
      </c>
      <c r="C153" s="1235"/>
      <c r="D153" s="1881">
        <f>'DCA Underwriting Assumptions'!$R$53</f>
        <v>0.02</v>
      </c>
      <c r="E153" s="1882">
        <f>ROUNDDOWN(D153*(G142+G150),0)</f>
        <v>242000</v>
      </c>
      <c r="F153" s="1881">
        <f>IF(($G$28+$G$36)=0,0,G153/($G$28+$G$36))</f>
        <v>0</v>
      </c>
      <c r="G153" s="1844">
        <f>'Part III-A-Uses of Funds'!G39</f>
        <v>242000</v>
      </c>
      <c r="H153" s="1844"/>
      <c r="I153" s="1235"/>
      <c r="J153" s="1844">
        <f>'Part III-A-Uses of Funds'!J39</f>
        <v>242000</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5">
      <c r="A154" s="1235"/>
      <c r="B154" s="1235" t="s">
        <v>556</v>
      </c>
      <c r="C154" s="1235"/>
      <c r="D154" s="1881">
        <f>'DCA Underwriting Assumptions'!$R$54</f>
        <v>0.06</v>
      </c>
      <c r="E154" s="1882">
        <f>ROUNDDOWN(D154*(G142+G150),0)</f>
        <v>726000</v>
      </c>
      <c r="F154" s="1881">
        <f>IF(($G$28+$G$36)=0,0,G154/($G$28+$G$36))</f>
        <v>0</v>
      </c>
      <c r="G154" s="1844">
        <f>'Part III-A-Uses of Funds'!G40</f>
        <v>726000</v>
      </c>
      <c r="H154" s="1844"/>
      <c r="I154" s="1235"/>
      <c r="J154" s="1844">
        <f>'Part III-A-Uses of Funds'!J40</f>
        <v>726000</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5">
      <c r="A155" s="1235"/>
      <c r="B155" s="1820" t="s">
        <v>557</v>
      </c>
      <c r="C155" s="1235"/>
      <c r="D155" s="1879">
        <f>SUM(D152:D154)</f>
        <v>0.14000000000000001</v>
      </c>
      <c r="E155" s="1883">
        <f>SUM(E152:E154)</f>
        <v>1694000</v>
      </c>
      <c r="F155" s="1872" t="s">
        <v>531</v>
      </c>
      <c r="G155" s="1844">
        <f>SUM(G152:G154)</f>
        <v>1694000</v>
      </c>
      <c r="H155" s="1844"/>
      <c r="I155" s="1235"/>
      <c r="J155" s="1844">
        <f>SUM(J152:J154)</f>
        <v>1694000</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c r="A157" s="1816"/>
      <c r="B157" s="1235"/>
      <c r="C157" s="1884" t="s">
        <v>559</v>
      </c>
      <c r="D157" s="1235"/>
      <c r="E157" s="1816"/>
      <c r="F157" s="1816"/>
      <c r="G157" s="1885">
        <f>G142+G150+G155</f>
        <v>13794000</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c r="A159" s="1235"/>
      <c r="B159" s="1815" t="s">
        <v>7514</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562</v>
      </c>
      <c r="C160" s="1741" t="str">
        <f>'Part III-A-Uses of Funds'!C46</f>
        <v>&lt;&lt; Enter description here; provide detail &amp; justification in tab Part III-b &gt;&gt;</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7515</v>
      </c>
      <c r="C162" s="1887"/>
      <c r="D162" s="1235"/>
      <c r="E162" s="1815" t="s">
        <v>565</v>
      </c>
      <c r="F162" s="1888">
        <f>C163/'Part V-Revenues &amp; Expenses'!$P$74</f>
        <v>229900</v>
      </c>
      <c r="G162" s="1889" t="s">
        <v>7516</v>
      </c>
      <c r="H162" s="1235"/>
      <c r="I162" s="1235"/>
      <c r="J162" s="1890">
        <f>C163/'Part V-Revenues &amp; Expenses'!$P$76</f>
        <v>229900</v>
      </c>
      <c r="K162" s="1890"/>
      <c r="L162" s="1235"/>
      <c r="M162" s="1891" t="s">
        <v>567</v>
      </c>
      <c r="N162" s="1891"/>
      <c r="O162" s="1235"/>
      <c r="P162" s="1890">
        <f>C163/'Part V-Revenues &amp; Expenses'!$K$197</f>
        <v>205.21899547726733</v>
      </c>
      <c r="Q162" s="1890"/>
      <c r="R162" s="1235"/>
      <c r="S162" s="1892" t="s">
        <v>568</v>
      </c>
      <c r="T162" s="1892"/>
      <c r="U162" s="1235"/>
      <c r="V162" s="1868"/>
      <c r="W162" s="1869"/>
      <c r="X162" s="1869"/>
      <c r="Y162" s="1235"/>
      <c r="Z162" s="1235"/>
      <c r="AA162" s="1235"/>
      <c r="AB162" s="1235"/>
      <c r="AC162" s="1235"/>
      <c r="AD162" s="1235"/>
      <c r="AE162" s="1235"/>
      <c r="AF162" s="1235"/>
      <c r="AG162" s="1235"/>
      <c r="AH162" s="1235"/>
      <c r="AI162" s="1235"/>
    </row>
    <row r="163" spans="1:35" ht="13.5">
      <c r="A163" s="1235"/>
      <c r="B163" s="1893" t="s">
        <v>569</v>
      </c>
      <c r="C163" s="1894">
        <f>G142+G150+G155+G160</f>
        <v>13794000</v>
      </c>
      <c r="D163" s="1235"/>
      <c r="E163" s="1815"/>
      <c r="F163" s="1888">
        <f>C163/'Part V-Revenues &amp; Expenses'!$P$188</f>
        <v>269.32989690721649</v>
      </c>
      <c r="G163" s="1892" t="s">
        <v>7517</v>
      </c>
      <c r="H163" s="1235"/>
      <c r="I163" s="1235"/>
      <c r="J163" s="1890">
        <f>C163/'Part V-Revenues &amp; Expenses'!$P$190</f>
        <v>269.32989690721649</v>
      </c>
      <c r="K163" s="1890"/>
      <c r="L163" s="1235"/>
      <c r="M163" s="1892" t="s">
        <v>571</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21</v>
      </c>
      <c r="B165" s="1865" t="s">
        <v>7518</v>
      </c>
      <c r="C165" s="1235"/>
      <c r="D165" s="1235"/>
      <c r="E165" s="1235"/>
      <c r="F165" s="1235"/>
      <c r="G165" s="1235"/>
      <c r="H165" s="1235"/>
      <c r="I165" s="1235"/>
      <c r="J165" s="1815" t="s">
        <v>512</v>
      </c>
      <c r="K165" s="1815"/>
      <c r="L165" s="1844"/>
      <c r="M165" s="1866" t="s">
        <v>513</v>
      </c>
      <c r="N165" s="1866"/>
      <c r="O165" s="1235"/>
      <c r="P165" s="1815" t="s">
        <v>514</v>
      </c>
      <c r="Q165" s="1815"/>
      <c r="R165" s="1235"/>
      <c r="S165" s="1815" t="s">
        <v>515</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c r="A166" s="1235"/>
      <c r="B166" s="1235"/>
      <c r="C166" s="1235"/>
      <c r="D166" s="1235"/>
      <c r="E166" s="1235"/>
      <c r="F166" s="1235"/>
      <c r="G166" s="1815" t="s">
        <v>516</v>
      </c>
      <c r="H166" s="1815"/>
      <c r="I166" s="1235"/>
      <c r="J166" s="1815"/>
      <c r="K166" s="1815"/>
      <c r="L166" s="1844"/>
      <c r="M166" s="1866"/>
      <c r="N166" s="1866"/>
      <c r="O166" s="1235"/>
      <c r="P166" s="1815"/>
      <c r="Q166" s="1815"/>
      <c r="R166" s="1235"/>
      <c r="S166" s="1815"/>
      <c r="T166" s="1815"/>
      <c r="U166" s="1235"/>
      <c r="V166" s="1868"/>
      <c r="W166" s="269" t="s">
        <v>349</v>
      </c>
      <c r="X166" s="269"/>
      <c r="Y166" s="1235"/>
      <c r="Z166" s="1235"/>
      <c r="AA166" s="1235"/>
      <c r="AB166" s="1235"/>
      <c r="AC166" s="1235"/>
      <c r="AD166" s="1235"/>
      <c r="AE166" s="1235"/>
      <c r="AF166" s="1235"/>
      <c r="AG166" s="1235"/>
      <c r="AH166" s="1235"/>
      <c r="AI166" s="1235"/>
    </row>
    <row r="167" spans="1:35">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c r="A168" s="1235"/>
      <c r="B168" s="1815" t="s">
        <v>573</v>
      </c>
      <c r="C168" s="1235"/>
      <c r="D168" s="1235"/>
      <c r="E168" s="1235"/>
      <c r="F168" s="899" t="s">
        <v>574</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c r="A169" s="270"/>
      <c r="B169" s="1235" t="s">
        <v>575</v>
      </c>
      <c r="C169" s="270"/>
      <c r="D169" s="1874" t="s">
        <v>576</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689700</v>
      </c>
      <c r="F169" s="1852">
        <f>G169/C163</f>
        <v>0.05</v>
      </c>
      <c r="G169" s="1844">
        <f>'Part III-A-Uses of Funds'!G55</f>
        <v>689700</v>
      </c>
      <c r="H169" s="1844"/>
      <c r="I169" s="1235"/>
      <c r="J169" s="1844">
        <f>'Part III-A-Uses of Funds'!J55</f>
        <v>689700</v>
      </c>
      <c r="K169" s="1844"/>
      <c r="L169" s="1833"/>
      <c r="M169" s="1844">
        <f>'Part III-A-Uses of Funds'!M55</f>
        <v>0</v>
      </c>
      <c r="N169" s="1844"/>
      <c r="O169" s="1235"/>
      <c r="P169" s="1844">
        <f>'Part III-A-Uses of Funds'!P55</f>
        <v>0</v>
      </c>
      <c r="Q169" s="1844"/>
      <c r="R169" s="1235"/>
      <c r="S169" s="1844">
        <f>'Part III-A-Uses of Funds'!S55</f>
        <v>0</v>
      </c>
      <c r="T169" s="1844"/>
      <c r="U169" s="270"/>
      <c r="V169" s="1868"/>
      <c r="W169" s="1869"/>
      <c r="X169" s="1869"/>
      <c r="Y169" s="270"/>
      <c r="Z169" s="270"/>
      <c r="AA169" s="270"/>
      <c r="AB169" s="270"/>
      <c r="AC169" s="270"/>
      <c r="AD169" s="270"/>
      <c r="AE169" s="270"/>
      <c r="AF169" s="270"/>
      <c r="AG169" s="270"/>
      <c r="AH169" s="270"/>
      <c r="AI169" s="270"/>
    </row>
    <row r="170" spans="1:35">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577</v>
      </c>
      <c r="C171" s="1887"/>
      <c r="D171" s="1235"/>
      <c r="E171" s="1815" t="s">
        <v>578</v>
      </c>
      <c r="F171" s="1888">
        <f>B172/'Part V-Revenues &amp; Expenses'!$P$74</f>
        <v>241395</v>
      </c>
      <c r="G171" s="1889" t="s">
        <v>7516</v>
      </c>
      <c r="H171" s="1235"/>
      <c r="I171" s="1235"/>
      <c r="J171" s="1890">
        <f>B172/'Part V-Revenues &amp; Expenses'!$P$76</f>
        <v>241395</v>
      </c>
      <c r="K171" s="1890"/>
      <c r="L171" s="1235"/>
      <c r="M171" s="1891" t="s">
        <v>567</v>
      </c>
      <c r="N171" s="1891"/>
      <c r="O171" s="1235"/>
      <c r="P171" s="1890">
        <f>B172/'Part V-Revenues &amp; Expenses'!$K$197</f>
        <v>215.47994525113069</v>
      </c>
      <c r="Q171" s="1890"/>
      <c r="R171" s="1235"/>
      <c r="S171" s="1892" t="s">
        <v>568</v>
      </c>
      <c r="T171" s="1892"/>
      <c r="U171" s="1235"/>
      <c r="V171" s="1868"/>
      <c r="W171" s="1869"/>
      <c r="X171" s="1869"/>
      <c r="Y171" s="1235"/>
      <c r="Z171" s="1235"/>
      <c r="AA171" s="1235"/>
      <c r="AB171" s="1235"/>
      <c r="AC171" s="1235"/>
      <c r="AD171" s="1235"/>
      <c r="AE171" s="1235"/>
      <c r="AF171" s="1235"/>
      <c r="AG171" s="1235"/>
      <c r="AH171" s="1235"/>
      <c r="AI171" s="1235"/>
    </row>
    <row r="172" spans="1:35">
      <c r="A172" s="1235"/>
      <c r="B172" s="1894">
        <f>C163+G169</f>
        <v>14483700</v>
      </c>
      <c r="C172" s="1894"/>
      <c r="D172" s="1235"/>
      <c r="E172" s="1815"/>
      <c r="F172" s="1888">
        <f>B172/'Part V-Revenues &amp; Expenses'!$P$188</f>
        <v>282.79639175257734</v>
      </c>
      <c r="G172" s="1892" t="s">
        <v>7517</v>
      </c>
      <c r="H172" s="1235"/>
      <c r="I172" s="1235"/>
      <c r="J172" s="1890">
        <f>B172/'Part V-Revenues &amp; Expenses'!$P$190</f>
        <v>282.79639175257734</v>
      </c>
      <c r="K172" s="1890"/>
      <c r="L172" s="1235"/>
      <c r="M172" s="1892" t="s">
        <v>571</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c r="A174" s="1235"/>
      <c r="B174" s="1815" t="s">
        <v>579</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c r="A175" s="1235"/>
      <c r="B175" s="1235" t="s">
        <v>580</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c r="A176" s="1235"/>
      <c r="B176" s="1235" t="s">
        <v>581</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c r="A177" s="1235"/>
      <c r="B177" s="1235" t="s">
        <v>582</v>
      </c>
      <c r="C177" s="1235"/>
      <c r="D177" s="1235"/>
      <c r="E177" s="1235"/>
      <c r="F177" s="1235"/>
      <c r="G177" s="1844">
        <f>'Part III-A-Uses of Funds'!G63</f>
        <v>166103</v>
      </c>
      <c r="H177" s="1844"/>
      <c r="I177" s="1235"/>
      <c r="J177" s="1844">
        <f>'Part III-A-Uses of Funds'!J63</f>
        <v>166103</v>
      </c>
      <c r="K177" s="1844"/>
      <c r="L177" s="1833"/>
      <c r="M177" s="1844">
        <f>'Part III-A-Uses of Funds'!M63</f>
        <v>0</v>
      </c>
      <c r="N177" s="1844"/>
      <c r="O177" s="1235"/>
      <c r="P177" s="1844">
        <f>'Part III-A-Uses of Funds'!P63</f>
        <v>0</v>
      </c>
      <c r="Q177" s="1844"/>
      <c r="R177" s="1235"/>
      <c r="S177" s="1844">
        <f>'Part III-A-Uses of Funds'!S63</f>
        <v>0</v>
      </c>
      <c r="T177" s="1844"/>
      <c r="U177" s="1235"/>
      <c r="V177" s="1868"/>
      <c r="W177" s="1869"/>
      <c r="X177" s="1869"/>
      <c r="Y177" s="1235"/>
      <c r="Z177" s="1235"/>
      <c r="AA177" s="1235"/>
      <c r="AB177" s="1235"/>
      <c r="AC177" s="1235"/>
      <c r="AD177" s="1235"/>
      <c r="AE177" s="1235"/>
      <c r="AF177" s="1235"/>
      <c r="AG177" s="1235"/>
      <c r="AH177" s="1235"/>
      <c r="AI177" s="1235"/>
    </row>
    <row r="178" spans="1:35">
      <c r="A178" s="1235"/>
      <c r="B178" s="1235" t="s">
        <v>583</v>
      </c>
      <c r="C178" s="1235"/>
      <c r="D178" s="1235"/>
      <c r="E178" s="1235"/>
      <c r="F178" s="1235"/>
      <c r="G178" s="1844">
        <f>'Part III-A-Uses of Funds'!G64</f>
        <v>1344228</v>
      </c>
      <c r="H178" s="1844"/>
      <c r="I178" s="1235"/>
      <c r="J178" s="1844">
        <f>'Part III-A-Uses of Funds'!J64</f>
        <v>764587</v>
      </c>
      <c r="K178" s="1844"/>
      <c r="L178" s="1833"/>
      <c r="M178" s="1844">
        <f>'Part III-A-Uses of Funds'!M64</f>
        <v>0</v>
      </c>
      <c r="N178" s="1844"/>
      <c r="O178" s="1235"/>
      <c r="P178" s="1844">
        <f>'Part III-A-Uses of Funds'!P64</f>
        <v>0</v>
      </c>
      <c r="Q178" s="1844"/>
      <c r="R178" s="1235"/>
      <c r="S178" s="1844">
        <f>'Part III-A-Uses of Funds'!S64</f>
        <v>579641</v>
      </c>
      <c r="T178" s="1844"/>
      <c r="U178" s="1235"/>
      <c r="V178" s="1868"/>
      <c r="W178" s="1869"/>
      <c r="X178" s="1869"/>
      <c r="Y178" s="1235"/>
      <c r="Z178" s="1235"/>
      <c r="AA178" s="1235"/>
      <c r="AB178" s="1235"/>
      <c r="AC178" s="1235"/>
      <c r="AD178" s="1235"/>
      <c r="AE178" s="1235"/>
      <c r="AF178" s="1235"/>
      <c r="AG178" s="1235"/>
      <c r="AH178" s="1235"/>
      <c r="AI178" s="1235"/>
    </row>
    <row r="179" spans="1:35">
      <c r="A179" s="1235"/>
      <c r="B179" s="1235" t="s">
        <v>584</v>
      </c>
      <c r="C179" s="1235"/>
      <c r="D179" s="1235"/>
      <c r="E179" s="1235"/>
      <c r="F179" s="1235"/>
      <c r="G179" s="1844">
        <f>'Part III-A-Uses of Funds'!G65</f>
        <v>90000</v>
      </c>
      <c r="H179" s="1844"/>
      <c r="I179" s="1235"/>
      <c r="J179" s="1844">
        <f>'Part III-A-Uses of Funds'!J65</f>
        <v>65000</v>
      </c>
      <c r="K179" s="1844"/>
      <c r="L179" s="1833"/>
      <c r="M179" s="1844">
        <f>'Part III-A-Uses of Funds'!M65</f>
        <v>0</v>
      </c>
      <c r="N179" s="1844"/>
      <c r="O179" s="1235"/>
      <c r="P179" s="1844">
        <f>'Part III-A-Uses of Funds'!P65</f>
        <v>0</v>
      </c>
      <c r="Q179" s="1844"/>
      <c r="R179" s="1235"/>
      <c r="S179" s="1844">
        <f>'Part III-A-Uses of Funds'!S65</f>
        <v>25000</v>
      </c>
      <c r="T179" s="1844"/>
      <c r="U179" s="1235"/>
      <c r="V179" s="1868"/>
      <c r="W179" s="1869"/>
      <c r="X179" s="1869"/>
      <c r="Y179" s="1235"/>
      <c r="Z179" s="1235"/>
      <c r="AA179" s="1235"/>
      <c r="AB179" s="1235"/>
      <c r="AC179" s="1235"/>
      <c r="AD179" s="1235"/>
      <c r="AE179" s="1235"/>
      <c r="AF179" s="1235"/>
      <c r="AG179" s="1235"/>
      <c r="AH179" s="1235"/>
      <c r="AI179" s="1235"/>
    </row>
    <row r="180" spans="1:35">
      <c r="A180" s="1235"/>
      <c r="B180" s="1235" t="s">
        <v>586</v>
      </c>
      <c r="C180" s="1235"/>
      <c r="D180" s="1235"/>
      <c r="E180" s="1235"/>
      <c r="F180" s="1235"/>
      <c r="G180" s="1844">
        <f>'Part III-A-Uses of Funds'!G66</f>
        <v>25000</v>
      </c>
      <c r="H180" s="1844"/>
      <c r="I180" s="1235"/>
      <c r="J180" s="1844">
        <f>'Part III-A-Uses of Funds'!J66</f>
        <v>25000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c r="A181" s="1235"/>
      <c r="B181" s="1235" t="s">
        <v>588</v>
      </c>
      <c r="C181" s="1235"/>
      <c r="D181" s="1235"/>
      <c r="E181" s="1235"/>
      <c r="F181" s="1235"/>
      <c r="G181" s="1844">
        <f>'Part III-A-Uses of Funds'!G67</f>
        <v>30000</v>
      </c>
      <c r="H181" s="1844"/>
      <c r="I181" s="1235"/>
      <c r="J181" s="1844">
        <f>'Part III-A-Uses of Funds'!J67</f>
        <v>30000</v>
      </c>
      <c r="K181" s="1844"/>
      <c r="L181" s="1833"/>
      <c r="M181" s="1844">
        <f>'Part III-A-Uses of Funds'!M67</f>
        <v>0</v>
      </c>
      <c r="N181" s="1844"/>
      <c r="O181" s="1235"/>
      <c r="P181" s="1844">
        <f>'Part III-A-Uses of Funds'!P67</f>
        <v>0</v>
      </c>
      <c r="Q181" s="1844"/>
      <c r="R181" s="1235"/>
      <c r="S181" s="1844">
        <f>'Part III-A-Uses of Funds'!S67</f>
        <v>0</v>
      </c>
      <c r="T181" s="1844"/>
      <c r="U181" s="1235"/>
      <c r="V181" s="1868"/>
      <c r="W181" s="1869"/>
      <c r="X181" s="1869"/>
      <c r="Y181" s="1235"/>
      <c r="Z181" s="1235"/>
      <c r="AA181" s="1235"/>
      <c r="AB181" s="1235"/>
      <c r="AC181" s="1235"/>
      <c r="AD181" s="1235"/>
      <c r="AE181" s="1235"/>
      <c r="AF181" s="1235"/>
      <c r="AG181" s="1235"/>
      <c r="AH181" s="1235"/>
      <c r="AI181" s="1235"/>
    </row>
    <row r="182" spans="1:35">
      <c r="A182" s="1235"/>
      <c r="B182" s="1235" t="s">
        <v>590</v>
      </c>
      <c r="C182" s="1235"/>
      <c r="D182" s="1235"/>
      <c r="E182" s="1235"/>
      <c r="F182" s="1235"/>
      <c r="G182" s="1844">
        <f>'Part III-A-Uses of Funds'!G68</f>
        <v>50000</v>
      </c>
      <c r="H182" s="1844"/>
      <c r="I182" s="1235"/>
      <c r="J182" s="1844">
        <f>'Part III-A-Uses of Funds'!J68</f>
        <v>50000</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c r="A183" s="1235"/>
      <c r="B183" s="1235" t="s">
        <v>591</v>
      </c>
      <c r="C183" s="1235"/>
      <c r="D183" s="1235"/>
      <c r="E183" s="1235"/>
      <c r="F183" s="1235"/>
      <c r="G183" s="1844">
        <f>'Part III-A-Uses of Funds'!G69</f>
        <v>75000</v>
      </c>
      <c r="H183" s="1844"/>
      <c r="I183" s="1235"/>
      <c r="J183" s="1844">
        <f>'Part III-A-Uses of Funds'!J69</f>
        <v>75000</v>
      </c>
      <c r="K183" s="1844"/>
      <c r="L183" s="1833"/>
      <c r="M183" s="1844">
        <f>'Part III-A-Uses of Funds'!M69</f>
        <v>0</v>
      </c>
      <c r="N183" s="1844"/>
      <c r="O183" s="1235"/>
      <c r="P183" s="1844">
        <f>'Part III-A-Uses of Funds'!P69</f>
        <v>0</v>
      </c>
      <c r="Q183" s="1844"/>
      <c r="R183" s="1235"/>
      <c r="S183" s="1844">
        <f>'Part III-A-Uses of Funds'!S69</f>
        <v>0</v>
      </c>
      <c r="T183" s="1844"/>
      <c r="U183" s="1235"/>
      <c r="V183" s="1868"/>
      <c r="W183" s="1869"/>
      <c r="X183" s="1869"/>
      <c r="Y183" s="1235"/>
      <c r="Z183" s="1235"/>
      <c r="AA183" s="1235"/>
      <c r="AB183" s="1235"/>
      <c r="AC183" s="1235"/>
      <c r="AD183" s="1235"/>
      <c r="AE183" s="1235"/>
      <c r="AF183" s="1235"/>
      <c r="AG183" s="1235"/>
      <c r="AH183" s="1235"/>
      <c r="AI183" s="1235"/>
    </row>
    <row r="184" spans="1:35">
      <c r="A184" s="1235"/>
      <c r="B184" s="1897" t="s">
        <v>592</v>
      </c>
      <c r="C184" s="1235"/>
      <c r="D184" s="1898"/>
      <c r="E184" s="1898"/>
      <c r="F184" s="1899"/>
      <c r="G184" s="1844">
        <f>'Part III-A-Uses of Funds'!G70</f>
        <v>0</v>
      </c>
      <c r="H184" s="1844"/>
      <c r="I184" s="1235"/>
      <c r="J184" s="1844">
        <f>'Part III-A-Uses of Funds'!J70</f>
        <v>0</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593</v>
      </c>
      <c r="C185" s="1741" t="str">
        <f>'Part III-A-Uses of Funds'!C71</f>
        <v>&lt;&lt; Enter description here; provide detail &amp; justification in tab Part III-b &gt;&gt;</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594</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c r="A187" s="1235"/>
      <c r="B187" s="1235"/>
      <c r="C187" s="1235"/>
      <c r="D187" s="1235"/>
      <c r="E187" s="1235"/>
      <c r="F187" s="1872" t="s">
        <v>531</v>
      </c>
      <c r="G187" s="1844">
        <f>SUM(G175:G186)</f>
        <v>1780331</v>
      </c>
      <c r="H187" s="1844"/>
      <c r="I187" s="1235"/>
      <c r="J187" s="1844">
        <f>SUM(J175:J186)</f>
        <v>1175690</v>
      </c>
      <c r="K187" s="1844"/>
      <c r="L187" s="1833"/>
      <c r="M187" s="1844">
        <f>SUM(M175:M186)</f>
        <v>0</v>
      </c>
      <c r="N187" s="1844"/>
      <c r="O187" s="1235"/>
      <c r="P187" s="1844">
        <f>SUM(P175:P186)</f>
        <v>0</v>
      </c>
      <c r="Q187" s="1844"/>
      <c r="R187" s="1235"/>
      <c r="S187" s="1844">
        <f>SUM(S175:S186)</f>
        <v>604641</v>
      </c>
      <c r="T187" s="1844"/>
      <c r="U187" s="1235"/>
      <c r="V187" s="1868">
        <f>SUM(V175:V186)</f>
        <v>0</v>
      </c>
      <c r="W187" s="1869"/>
      <c r="X187" s="1869"/>
      <c r="Y187" s="1235"/>
      <c r="Z187" s="1235"/>
      <c r="AA187" s="1235"/>
      <c r="AB187" s="1235"/>
      <c r="AC187" s="1235"/>
      <c r="AD187" s="1235"/>
      <c r="AE187" s="1235"/>
      <c r="AF187" s="1235"/>
      <c r="AG187" s="1235"/>
      <c r="AH187" s="1235"/>
      <c r="AI187" s="1235"/>
    </row>
    <row r="188" spans="1:35">
      <c r="A188" s="1235"/>
      <c r="B188" s="1815" t="s">
        <v>595</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c r="A189" s="1235"/>
      <c r="B189" s="1235" t="s">
        <v>596</v>
      </c>
      <c r="C189" s="1235"/>
      <c r="D189" s="1235"/>
      <c r="E189" s="1235"/>
      <c r="F189" s="1235"/>
      <c r="G189" s="1844">
        <f>'Part III-A-Uses of Funds'!G75</f>
        <v>210000</v>
      </c>
      <c r="H189" s="1844"/>
      <c r="I189" s="1235"/>
      <c r="J189" s="1844">
        <f>'Part III-A-Uses of Funds'!J75</f>
        <v>210000</v>
      </c>
      <c r="K189" s="1844"/>
      <c r="L189" s="1833"/>
      <c r="M189" s="1844">
        <f>'Part III-A-Uses of Funds'!M75</f>
        <v>0</v>
      </c>
      <c r="N189" s="1844"/>
      <c r="O189" s="1235"/>
      <c r="P189" s="1844">
        <f>'Part III-A-Uses of Funds'!P75</f>
        <v>0</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c r="A190" s="1235"/>
      <c r="B190" s="1235" t="s">
        <v>597</v>
      </c>
      <c r="C190" s="1235"/>
      <c r="D190" s="1235"/>
      <c r="E190" s="1235"/>
      <c r="F190" s="1235"/>
      <c r="G190" s="1844">
        <f>'Part III-A-Uses of Funds'!G76</f>
        <v>60000</v>
      </c>
      <c r="H190" s="1844"/>
      <c r="I190" s="1235"/>
      <c r="J190" s="1844">
        <f>'Part III-A-Uses of Funds'!J76</f>
        <v>60000</v>
      </c>
      <c r="K190" s="1844"/>
      <c r="L190" s="1833"/>
      <c r="M190" s="1844">
        <f>'Part III-A-Uses of Funds'!M76</f>
        <v>0</v>
      </c>
      <c r="N190" s="1844"/>
      <c r="O190" s="1235"/>
      <c r="P190" s="1844">
        <f>'Part III-A-Uses of Funds'!P76</f>
        <v>0</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c r="A191" s="1235"/>
      <c r="B191" s="1235" t="s">
        <v>598</v>
      </c>
      <c r="C191" s="1235"/>
      <c r="D191" s="1825"/>
      <c r="E191" s="1900"/>
      <c r="F191" s="1815"/>
      <c r="G191" s="1844">
        <f>'Part III-A-Uses of Funds'!G77</f>
        <v>20000</v>
      </c>
      <c r="H191" s="1844"/>
      <c r="I191" s="1235"/>
      <c r="J191" s="1844">
        <f>'Part III-A-Uses of Funds'!J77</f>
        <v>20000</v>
      </c>
      <c r="K191" s="1844"/>
      <c r="L191" s="1833"/>
      <c r="M191" s="1844">
        <f>'Part III-A-Uses of Funds'!M77</f>
        <v>0</v>
      </c>
      <c r="N191" s="1844"/>
      <c r="O191" s="1235"/>
      <c r="P191" s="1844">
        <f>'Part III-A-Uses of Funds'!P77</f>
        <v>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c r="A192" s="1235"/>
      <c r="B192" s="1235" t="s">
        <v>599</v>
      </c>
      <c r="C192" s="1235"/>
      <c r="D192" s="1235"/>
      <c r="E192" s="1235"/>
      <c r="F192" s="1235"/>
      <c r="G192" s="1844">
        <f>'Part III-A-Uses of Funds'!G78</f>
        <v>20000</v>
      </c>
      <c r="H192" s="1844"/>
      <c r="I192" s="1235"/>
      <c r="J192" s="1844">
        <f>'Part III-A-Uses of Funds'!J78</f>
        <v>20000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c r="A193" s="1235"/>
      <c r="B193" s="1235" t="s">
        <v>600</v>
      </c>
      <c r="C193" s="1235"/>
      <c r="D193" s="1235"/>
      <c r="E193" s="1235"/>
      <c r="F193" s="1235"/>
      <c r="G193" s="1844">
        <f>'Part III-A-Uses of Funds'!G79</f>
        <v>18000</v>
      </c>
      <c r="H193" s="1844"/>
      <c r="I193" s="1235"/>
      <c r="J193" s="1844">
        <f>'Part III-A-Uses of Funds'!J79</f>
        <v>18000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c r="A194" s="1235"/>
      <c r="B194" s="1235" t="s">
        <v>602</v>
      </c>
      <c r="C194" s="1235"/>
      <c r="D194" s="1235"/>
      <c r="E194" s="1235"/>
      <c r="F194" s="1235"/>
      <c r="G194" s="1844">
        <f>'Part III-A-Uses of Funds'!G80</f>
        <v>45000</v>
      </c>
      <c r="H194" s="1844"/>
      <c r="I194" s="1235"/>
      <c r="J194" s="1844">
        <f>'Part III-A-Uses of Funds'!J80</f>
        <v>45000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c r="A195" s="1235"/>
      <c r="B195" s="1235" t="s">
        <v>604</v>
      </c>
      <c r="C195" s="1235"/>
      <c r="D195" s="1235"/>
      <c r="E195" s="1235"/>
      <c r="F195" s="1235"/>
      <c r="G195" s="1844">
        <f>'Part III-A-Uses of Funds'!G81</f>
        <v>110000</v>
      </c>
      <c r="H195" s="1844"/>
      <c r="I195" s="1235"/>
      <c r="J195" s="1844">
        <f>'Part III-A-Uses of Funds'!J81</f>
        <v>110000</v>
      </c>
      <c r="K195" s="1844"/>
      <c r="L195" s="1833"/>
      <c r="M195" s="1844">
        <f>'Part III-A-Uses of Funds'!M81</f>
        <v>0</v>
      </c>
      <c r="N195" s="1844"/>
      <c r="O195" s="1235"/>
      <c r="P195" s="1844">
        <f>'Part III-A-Uses of Funds'!P81</f>
        <v>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c r="A196" s="1235"/>
      <c r="B196" s="1235" t="s">
        <v>605</v>
      </c>
      <c r="C196" s="1235"/>
      <c r="D196" s="1235"/>
      <c r="E196" s="1235"/>
      <c r="F196" s="1235"/>
      <c r="G196" s="1844">
        <f>'Part III-A-Uses of Funds'!G82</f>
        <v>50000</v>
      </c>
      <c r="H196" s="1844"/>
      <c r="I196" s="1235"/>
      <c r="J196" s="1844">
        <f>'Part III-A-Uses of Funds'!J82</f>
        <v>25000</v>
      </c>
      <c r="K196" s="1844"/>
      <c r="L196" s="1833"/>
      <c r="M196" s="1844">
        <f>'Part III-A-Uses of Funds'!M82</f>
        <v>0</v>
      </c>
      <c r="N196" s="1844"/>
      <c r="O196" s="1235"/>
      <c r="P196" s="1844">
        <f>'Part III-A-Uses of Funds'!P82</f>
        <v>0</v>
      </c>
      <c r="Q196" s="1844"/>
      <c r="R196" s="1235"/>
      <c r="S196" s="1844">
        <f>'Part III-A-Uses of Funds'!S82</f>
        <v>25000</v>
      </c>
      <c r="T196" s="1844"/>
      <c r="U196" s="1235"/>
      <c r="V196" s="1868"/>
      <c r="W196" s="1869"/>
      <c r="X196" s="1869"/>
      <c r="Y196" s="1235"/>
      <c r="Z196" s="1235"/>
      <c r="AA196" s="1235"/>
      <c r="AB196" s="1235"/>
      <c r="AC196" s="1235"/>
      <c r="AD196" s="1235"/>
      <c r="AE196" s="1235"/>
      <c r="AF196" s="1235"/>
      <c r="AG196" s="1235"/>
      <c r="AH196" s="1235"/>
      <c r="AI196" s="1235"/>
    </row>
    <row r="197" spans="1:35">
      <c r="A197" s="1235"/>
      <c r="B197" s="1235" t="s">
        <v>606</v>
      </c>
      <c r="C197" s="1235"/>
      <c r="D197" s="1235"/>
      <c r="E197" s="1235"/>
      <c r="F197" s="1235"/>
      <c r="G197" s="1844">
        <f>'Part III-A-Uses of Funds'!G83</f>
        <v>30000</v>
      </c>
      <c r="H197" s="1844"/>
      <c r="I197" s="1235"/>
      <c r="J197" s="1844">
        <f>'Part III-A-Uses of Funds'!J83</f>
        <v>30000</v>
      </c>
      <c r="K197" s="1844"/>
      <c r="L197" s="1833"/>
      <c r="M197" s="1844">
        <f>'Part III-A-Uses of Funds'!M83</f>
        <v>0</v>
      </c>
      <c r="N197" s="1844"/>
      <c r="O197" s="1235"/>
      <c r="P197" s="1844">
        <f>'Part III-A-Uses of Funds'!P83</f>
        <v>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c r="A198" s="1235"/>
      <c r="B198" s="1235" t="s">
        <v>607</v>
      </c>
      <c r="C198" s="1235"/>
      <c r="D198" s="1235"/>
      <c r="E198" s="1235"/>
      <c r="F198" s="1235"/>
      <c r="G198" s="1844">
        <f>'Part III-A-Uses of Funds'!G84</f>
        <v>15000</v>
      </c>
      <c r="H198" s="1844"/>
      <c r="I198" s="1235"/>
      <c r="J198" s="1844">
        <f>'Part III-A-Uses of Funds'!J84</f>
        <v>15000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608</v>
      </c>
      <c r="C199" s="1741" t="str">
        <f>'Part III-A-Uses of Funds'!C85</f>
        <v>&lt;&lt; Enter description here; provide detail &amp; justification in tab Part III-b &gt;&gt;</v>
      </c>
      <c r="D199" s="1741"/>
      <c r="E199" s="1741"/>
      <c r="F199" s="1741"/>
      <c r="G199" s="1844">
        <f>'Part III-A-Uses of Funds'!G85</f>
        <v>0</v>
      </c>
      <c r="H199" s="1844"/>
      <c r="I199" s="1235"/>
      <c r="J199" s="1844">
        <f>'Part III-A-Uses of Funds'!J85</f>
        <v>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c r="A200" s="1235"/>
      <c r="B200" s="1235"/>
      <c r="C200" s="1235"/>
      <c r="D200" s="1235"/>
      <c r="E200" s="1235"/>
      <c r="F200" s="1872" t="s">
        <v>531</v>
      </c>
      <c r="G200" s="1844">
        <f>SUM(G189:G199)</f>
        <v>578000</v>
      </c>
      <c r="H200" s="1844"/>
      <c r="I200" s="1235"/>
      <c r="J200" s="1844">
        <f>SUM(J189:J199)</f>
        <v>553000</v>
      </c>
      <c r="K200" s="1844"/>
      <c r="L200" s="1833"/>
      <c r="M200" s="1844">
        <f>SUM(M189:M199)</f>
        <v>0</v>
      </c>
      <c r="N200" s="1844"/>
      <c r="O200" s="1235"/>
      <c r="P200" s="1844">
        <f>SUM(P189:P199)</f>
        <v>0</v>
      </c>
      <c r="Q200" s="1844"/>
      <c r="R200" s="1235"/>
      <c r="S200" s="1844">
        <f>SUM(S189:S199)</f>
        <v>25000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c r="A201" s="1235"/>
      <c r="B201" s="1815" t="s">
        <v>610</v>
      </c>
      <c r="C201" s="1235"/>
      <c r="D201" s="1901" t="s">
        <v>611</v>
      </c>
      <c r="E201" s="1902">
        <f>G206/'Part V-Revenues &amp; Expenses'!$P$76</f>
        <v>5181.7</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c r="A202" s="1235"/>
      <c r="B202" s="1235" t="s">
        <v>612</v>
      </c>
      <c r="C202" s="1235"/>
      <c r="D202" s="1235"/>
      <c r="E202" s="1235"/>
      <c r="F202" s="1235"/>
      <c r="G202" s="1844">
        <f>'Part III-A-Uses of Funds'!G88</f>
        <v>86942</v>
      </c>
      <c r="H202" s="1844"/>
      <c r="I202" s="1235"/>
      <c r="J202" s="1844">
        <f>'Part III-A-Uses of Funds'!J88</f>
        <v>86942</v>
      </c>
      <c r="K202" s="1844"/>
      <c r="L202" s="1833"/>
      <c r="M202" s="1844">
        <f>'Part III-A-Uses of Funds'!M88</f>
        <v>0</v>
      </c>
      <c r="N202" s="1844"/>
      <c r="O202" s="1235"/>
      <c r="P202" s="1844">
        <f>'Part III-A-Uses of Funds'!P88</f>
        <v>0</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c r="A203" s="1235"/>
      <c r="B203" s="1235" t="s">
        <v>613</v>
      </c>
      <c r="C203" s="1235"/>
      <c r="D203" s="1235"/>
      <c r="E203" s="1235"/>
      <c r="F203" s="1235"/>
      <c r="G203" s="1844">
        <f>'Part III-A-Uses of Funds'!G89</f>
        <v>143280</v>
      </c>
      <c r="H203" s="1844"/>
      <c r="I203" s="1235"/>
      <c r="J203" s="1844">
        <f>'Part III-A-Uses of Funds'!J89</f>
        <v>143280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c r="A204" s="1235"/>
      <c r="B204" s="1235" t="s">
        <v>614</v>
      </c>
      <c r="C204" s="1235"/>
      <c r="D204" s="1903" t="s">
        <v>615</v>
      </c>
      <c r="E204" s="1904"/>
      <c r="F204" s="1235"/>
      <c r="G204" s="1844">
        <f>'Part III-A-Uses of Funds'!G90</f>
        <v>41825</v>
      </c>
      <c r="H204" s="1844"/>
      <c r="I204" s="1235"/>
      <c r="J204" s="1844">
        <f>'Part III-A-Uses of Funds'!J90</f>
        <v>41825</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c r="A205" s="1235"/>
      <c r="B205" s="1235" t="s">
        <v>616</v>
      </c>
      <c r="C205" s="1235"/>
      <c r="D205" s="1903" t="s">
        <v>615</v>
      </c>
      <c r="E205" s="1904"/>
      <c r="F205" s="1235"/>
      <c r="G205" s="1844">
        <f>'Part III-A-Uses of Funds'!G91</f>
        <v>38855</v>
      </c>
      <c r="H205" s="1844"/>
      <c r="I205" s="1235"/>
      <c r="J205" s="1844">
        <f>'Part III-A-Uses of Funds'!J91</f>
        <v>38855</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c r="A206" s="1235"/>
      <c r="B206" s="1235"/>
      <c r="C206" s="1235"/>
      <c r="D206" s="1235"/>
      <c r="E206" s="1235"/>
      <c r="F206" s="1872" t="s">
        <v>531</v>
      </c>
      <c r="G206" s="1844">
        <f>SUM(G202:G205)</f>
        <v>310902</v>
      </c>
      <c r="H206" s="1844"/>
      <c r="I206" s="1235"/>
      <c r="J206" s="1844">
        <f>SUM(J202:J205)</f>
        <v>310902</v>
      </c>
      <c r="K206" s="1844"/>
      <c r="L206" s="1833"/>
      <c r="M206" s="1844">
        <f>SUM(M202:M205)</f>
        <v>0</v>
      </c>
      <c r="N206" s="1844"/>
      <c r="O206" s="1235"/>
      <c r="P206" s="1844">
        <f>SUM(P202:P205)</f>
        <v>0</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21</v>
      </c>
      <c r="B208" s="1865" t="s">
        <v>7519</v>
      </c>
      <c r="C208" s="1235"/>
      <c r="D208" s="1235"/>
      <c r="E208" s="1235"/>
      <c r="F208" s="1235"/>
      <c r="G208" s="1235"/>
      <c r="H208" s="1235"/>
      <c r="I208" s="1235"/>
      <c r="J208" s="1815" t="s">
        <v>512</v>
      </c>
      <c r="K208" s="1815"/>
      <c r="L208" s="1844"/>
      <c r="M208" s="1866" t="s">
        <v>513</v>
      </c>
      <c r="N208" s="1866"/>
      <c r="O208" s="1235"/>
      <c r="P208" s="1815" t="s">
        <v>514</v>
      </c>
      <c r="Q208" s="1815"/>
      <c r="R208" s="1235"/>
      <c r="S208" s="1815" t="s">
        <v>515</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c r="A209" s="1235"/>
      <c r="B209" s="1235"/>
      <c r="C209" s="1235"/>
      <c r="D209" s="1235"/>
      <c r="E209" s="1235"/>
      <c r="F209" s="1235"/>
      <c r="G209" s="1815" t="s">
        <v>516</v>
      </c>
      <c r="H209" s="1815"/>
      <c r="I209" s="1235"/>
      <c r="J209" s="1815"/>
      <c r="K209" s="1815"/>
      <c r="L209" s="1844"/>
      <c r="M209" s="1866"/>
      <c r="N209" s="1866"/>
      <c r="O209" s="1235"/>
      <c r="P209" s="1815"/>
      <c r="Q209" s="1815"/>
      <c r="R209" s="1235"/>
      <c r="S209" s="1815"/>
      <c r="T209" s="1815"/>
      <c r="U209" s="1235"/>
      <c r="V209" s="269" t="s">
        <v>349</v>
      </c>
      <c r="W209" s="1235"/>
      <c r="X209" s="269"/>
      <c r="Y209" s="1235"/>
      <c r="Z209" s="1235"/>
      <c r="AA209" s="1235"/>
      <c r="AB209" s="1235"/>
      <c r="AC209" s="1235"/>
      <c r="AD209" s="1235"/>
      <c r="AE209" s="1235"/>
      <c r="AF209" s="1235"/>
      <c r="AG209" s="1235"/>
      <c r="AH209" s="1235"/>
      <c r="AI209" s="1235"/>
    </row>
    <row r="210" spans="1:35">
      <c r="A210" s="1235"/>
      <c r="B210" s="1815" t="s">
        <v>618</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c r="A211" s="1235"/>
      <c r="B211" s="1235" t="s">
        <v>620</v>
      </c>
      <c r="C211" s="1235"/>
      <c r="D211" s="1235"/>
      <c r="E211" s="1235"/>
      <c r="F211" s="1235"/>
      <c r="G211" s="1844">
        <f>'Part III-A-Uses of Funds'!G97</f>
        <v>41500</v>
      </c>
      <c r="H211" s="1844"/>
      <c r="I211" s="1235"/>
      <c r="J211" s="1844"/>
      <c r="K211" s="1844"/>
      <c r="L211" s="1833"/>
      <c r="M211" s="1844"/>
      <c r="N211" s="1844"/>
      <c r="O211" s="1235"/>
      <c r="P211" s="1844"/>
      <c r="Q211" s="1844"/>
      <c r="R211" s="1235"/>
      <c r="S211" s="1844">
        <f>'Part III-A-Uses of Funds'!S97</f>
        <v>41500</v>
      </c>
      <c r="T211" s="1844"/>
      <c r="U211" s="1235"/>
      <c r="V211" s="1868"/>
      <c r="W211" s="1869"/>
      <c r="X211" s="1869"/>
      <c r="Y211" s="1235"/>
      <c r="Z211" s="1235"/>
      <c r="AA211" s="1235"/>
      <c r="AB211" s="1235"/>
      <c r="AC211" s="1235"/>
      <c r="AD211" s="1235"/>
      <c r="AE211" s="1235"/>
      <c r="AF211" s="1235"/>
      <c r="AG211" s="1235"/>
      <c r="AH211" s="1235"/>
      <c r="AI211" s="1235"/>
    </row>
    <row r="212" spans="1:35">
      <c r="A212" s="1235"/>
      <c r="B212" s="1235" t="s">
        <v>622</v>
      </c>
      <c r="C212" s="1235"/>
      <c r="D212" s="1235"/>
      <c r="E212" s="1235"/>
      <c r="F212" s="1235"/>
      <c r="G212" s="1844">
        <f>'Part III-A-Uses of Funds'!G98</f>
        <v>20000</v>
      </c>
      <c r="H212" s="1844"/>
      <c r="I212" s="1235"/>
      <c r="J212" s="1844"/>
      <c r="K212" s="1844"/>
      <c r="L212" s="1833"/>
      <c r="M212" s="1844"/>
      <c r="N212" s="1844"/>
      <c r="O212" s="1235"/>
      <c r="P212" s="1844"/>
      <c r="Q212" s="1844"/>
      <c r="R212" s="1235"/>
      <c r="S212" s="1844">
        <f>'Part III-A-Uses of Funds'!S98</f>
        <v>20000</v>
      </c>
      <c r="T212" s="1844"/>
      <c r="U212" s="1235"/>
      <c r="V212" s="1868"/>
      <c r="W212" s="1869"/>
      <c r="X212" s="1869"/>
      <c r="Y212" s="1235"/>
      <c r="Z212" s="1235"/>
      <c r="AA212" s="1235"/>
      <c r="AB212" s="1235"/>
      <c r="AC212" s="1235"/>
      <c r="AD212" s="1235"/>
      <c r="AE212" s="1235"/>
      <c r="AF212" s="1235"/>
      <c r="AG212" s="1235"/>
      <c r="AH212" s="1235"/>
      <c r="AI212" s="1235"/>
    </row>
    <row r="213" spans="1:35">
      <c r="A213" s="1235"/>
      <c r="B213" s="1235" t="s">
        <v>591</v>
      </c>
      <c r="C213" s="1235"/>
      <c r="D213" s="1235"/>
      <c r="E213" s="1235"/>
      <c r="F213" s="1235"/>
      <c r="G213" s="1844">
        <f>'Part III-A-Uses of Funds'!G99</f>
        <v>0</v>
      </c>
      <c r="H213" s="1844"/>
      <c r="I213" s="1235"/>
      <c r="J213" s="1844"/>
      <c r="K213" s="1844"/>
      <c r="L213" s="1833"/>
      <c r="M213" s="1844"/>
      <c r="N213" s="1844"/>
      <c r="O213" s="1235"/>
      <c r="P213" s="1844"/>
      <c r="Q213" s="1844"/>
      <c r="R213" s="1235"/>
      <c r="S213" s="1844">
        <f>'Part III-A-Uses of Funds'!S99</f>
        <v>0</v>
      </c>
      <c r="T213" s="1844"/>
      <c r="U213" s="1235"/>
      <c r="V213" s="1868"/>
      <c r="W213" s="1869"/>
      <c r="X213" s="1869"/>
      <c r="Y213" s="1235"/>
      <c r="Z213" s="1235"/>
      <c r="AA213" s="1235"/>
      <c r="AB213" s="1235"/>
      <c r="AC213" s="1235"/>
      <c r="AD213" s="1235"/>
      <c r="AE213" s="1235"/>
      <c r="AF213" s="1235"/>
      <c r="AG213" s="1235"/>
      <c r="AH213" s="1235"/>
      <c r="AI213" s="1235"/>
    </row>
    <row r="214" spans="1:35">
      <c r="A214" s="1235"/>
      <c r="B214" s="1235" t="s">
        <v>623</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c r="A215" s="1235"/>
      <c r="B215" s="1235" t="s">
        <v>624</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625</v>
      </c>
      <c r="C216" s="1741" t="str">
        <f>'Part III-A-Uses of Funds'!C102</f>
        <v>&lt;&lt; Enter description here; provide detail &amp; justification in tab Part III-b &gt;&gt;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c r="A217" s="1235"/>
      <c r="B217" s="1235"/>
      <c r="C217" s="1235"/>
      <c r="D217" s="1235"/>
      <c r="E217" s="1235"/>
      <c r="F217" s="1872" t="s">
        <v>531</v>
      </c>
      <c r="G217" s="1844">
        <f>SUM(G211:G216)</f>
        <v>61500</v>
      </c>
      <c r="H217" s="1844"/>
      <c r="I217" s="1235"/>
      <c r="J217" s="1844"/>
      <c r="K217" s="1844"/>
      <c r="L217" s="1833"/>
      <c r="M217" s="1844"/>
      <c r="N217" s="1844"/>
      <c r="O217" s="1235"/>
      <c r="P217" s="1844"/>
      <c r="Q217" s="1844"/>
      <c r="R217" s="1235"/>
      <c r="S217" s="1844">
        <f>SUM(S211:S216)</f>
        <v>61500</v>
      </c>
      <c r="T217" s="1844"/>
      <c r="U217" s="1235"/>
      <c r="V217" s="1868">
        <f>SUM(V211:V216)</f>
        <v>0</v>
      </c>
      <c r="W217" s="1869"/>
      <c r="X217" s="1869"/>
      <c r="Y217" s="1235"/>
      <c r="Z217" s="1235"/>
      <c r="AA217" s="1235"/>
      <c r="AB217" s="1235"/>
      <c r="AC217" s="1235"/>
      <c r="AD217" s="1235"/>
      <c r="AE217" s="1235"/>
      <c r="AF217" s="1235"/>
      <c r="AG217" s="1235"/>
      <c r="AH217" s="1235"/>
      <c r="AI217" s="1235"/>
    </row>
    <row r="218" spans="1:35">
      <c r="A218" s="1235"/>
      <c r="B218" s="1815" t="s">
        <v>626</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627</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628</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629</v>
      </c>
      <c r="Z219" s="1235"/>
      <c r="AA219" s="290" t="s">
        <v>630</v>
      </c>
      <c r="AB219" s="1820"/>
      <c r="AC219" s="1820"/>
      <c r="AD219" s="1906" t="str">
        <f>'Part V-Revenues &amp; Expenses'!$O$62</f>
        <v>Income Averaging</v>
      </c>
      <c r="AE219" s="1907"/>
      <c r="AF219" s="1907"/>
      <c r="AG219" s="1235"/>
      <c r="AH219" s="1235"/>
      <c r="AI219" s="1235"/>
    </row>
    <row r="220" spans="1:35">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631</v>
      </c>
      <c r="AB220" s="1892"/>
      <c r="AC220" s="1892"/>
      <c r="AD220" s="1909">
        <f>'Part V-Revenues &amp; Expenses'!$P$76</f>
        <v>60</v>
      </c>
      <c r="AE220" s="1235"/>
      <c r="AF220" s="1235"/>
      <c r="AG220" s="1235"/>
      <c r="AH220" s="1235"/>
      <c r="AI220" s="1235"/>
    </row>
    <row r="221" spans="1:35">
      <c r="A221" s="1235"/>
      <c r="B221" s="1235" t="s">
        <v>633</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634</v>
      </c>
      <c r="AB221" s="1820"/>
      <c r="AC221" s="1820"/>
      <c r="AD221" s="1820"/>
      <c r="AE221" s="1235"/>
      <c r="AF221" s="1911" t="s">
        <v>635</v>
      </c>
      <c r="AG221" s="1235"/>
      <c r="AH221" s="1235"/>
      <c r="AI221" s="1235"/>
    </row>
    <row r="222" spans="1:35">
      <c r="A222" s="1235"/>
      <c r="B222" s="1235" t="s">
        <v>637</v>
      </c>
      <c r="C222" s="1235"/>
      <c r="D222" s="1235"/>
      <c r="E222" s="1912">
        <f>ROUNDUP('DCA Underwriting Assumptions'!$Q$70*J306,0)</f>
        <v>108000</v>
      </c>
      <c r="F222" s="1912"/>
      <c r="G222" s="1844">
        <f>'Part III-A-Uses of Funds'!G108</f>
        <v>108000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108000</v>
      </c>
      <c r="T222" s="1844"/>
      <c r="U222" s="1235"/>
      <c r="V222" s="1868"/>
      <c r="W222" s="1869"/>
      <c r="X222" s="1869"/>
      <c r="Y222" s="1235"/>
      <c r="Z222" s="1235"/>
      <c r="AA222" s="1820" t="s">
        <v>638</v>
      </c>
      <c r="AB222" s="1820"/>
      <c r="AC222" s="1820"/>
      <c r="AD222" s="1914">
        <f>'Part V-Revenues &amp; Expenses'!P273+'Part V-Revenues &amp; Expenses'!P274</f>
        <v>0</v>
      </c>
      <c r="AE222" s="1235"/>
      <c r="AF222" s="1915">
        <f>AD222*'DCA Underwriting Assumptions'!$Q$77</f>
        <v>0</v>
      </c>
      <c r="AG222" s="1235"/>
      <c r="AH222" s="1235"/>
      <c r="AI222" s="1235"/>
    </row>
    <row r="223" spans="1:35">
      <c r="A223" s="1235"/>
      <c r="B223" s="1235" t="s">
        <v>640</v>
      </c>
      <c r="C223" s="1235"/>
      <c r="D223" s="1235"/>
      <c r="E223" s="1912">
        <f>AF225+AF229</f>
        <v>48000</v>
      </c>
      <c r="F223" s="1912"/>
      <c r="G223" s="1844">
        <f>'Part III-A-Uses of Funds'!G109</f>
        <v>60000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60000</v>
      </c>
      <c r="T223" s="1844"/>
      <c r="U223" s="1235"/>
      <c r="V223" s="1868"/>
      <c r="W223" s="1869"/>
      <c r="X223" s="1869"/>
      <c r="Y223" s="1235"/>
      <c r="Z223" s="1235"/>
      <c r="AA223" s="1820" t="s">
        <v>641</v>
      </c>
      <c r="AB223" s="1820"/>
      <c r="AC223" s="1820"/>
      <c r="AD223" s="1914">
        <f>'Part V-Revenues &amp; Expenses'!$P$163+'Part V-Revenues &amp; Expenses'!$P$164</f>
        <v>0</v>
      </c>
      <c r="AE223" s="1235"/>
      <c r="AF223" s="1915">
        <f>AD223*'DCA Underwriting Assumptions'!$Q$77</f>
        <v>0</v>
      </c>
      <c r="AG223" s="1235"/>
      <c r="AH223" s="1235"/>
      <c r="AI223" s="1235"/>
    </row>
    <row r="224" spans="1:35">
      <c r="A224" s="1235"/>
      <c r="B224" s="1235" t="s">
        <v>642</v>
      </c>
      <c r="C224" s="1235"/>
      <c r="D224" s="1235"/>
      <c r="E224" s="1235"/>
      <c r="F224" s="1917"/>
      <c r="G224" s="1844">
        <f>'Part III-A-Uses of Funds'!G110</f>
        <v>3000</v>
      </c>
      <c r="H224" s="1844"/>
      <c r="I224" s="1916"/>
      <c r="J224" s="1916"/>
      <c r="K224" s="1916"/>
      <c r="L224" s="1916"/>
      <c r="M224" s="1916"/>
      <c r="N224" s="1916"/>
      <c r="O224" s="1916"/>
      <c r="P224" s="1916"/>
      <c r="Q224" s="1916"/>
      <c r="R224" s="1916"/>
      <c r="S224" s="1844">
        <f>'Part III-A-Uses of Funds'!S110</f>
        <v>3000</v>
      </c>
      <c r="T224" s="1844"/>
      <c r="U224" s="1235"/>
      <c r="V224" s="1868"/>
      <c r="W224" s="1869"/>
      <c r="X224" s="1869"/>
      <c r="Y224" s="1235"/>
      <c r="Z224" s="1235"/>
      <c r="AA224" s="1820" t="s">
        <v>643</v>
      </c>
      <c r="AB224" s="1820"/>
      <c r="AC224" s="1820"/>
      <c r="AD224" s="1914">
        <f>'Part V-Revenues &amp; Expenses'!$P$165+'Part V-Revenues &amp; Expenses'!$P$166</f>
        <v>0</v>
      </c>
      <c r="AE224" s="1235"/>
      <c r="AF224" s="1915">
        <f>AD224*'DCA Underwriting Assumptions'!$Q$77</f>
        <v>0</v>
      </c>
      <c r="AG224" s="1235"/>
      <c r="AH224" s="1235"/>
      <c r="AI224" s="1235"/>
    </row>
    <row r="225" spans="1:35">
      <c r="A225" s="1235"/>
      <c r="B225" s="1235" t="s">
        <v>644</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645</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646</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647</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646</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648</v>
      </c>
      <c r="AB227" s="1820"/>
      <c r="AC227" s="899"/>
      <c r="AD227" s="1914">
        <f>'Part V-Revenues &amp; Expenses'!$P$150</f>
        <v>60</v>
      </c>
      <c r="AE227" s="1235"/>
      <c r="AF227" s="1915">
        <f>IF($AD$105="Income Averaging",AD227*'DCA Underwriting Assumptions'!$Q$75,AD227*'DCA Underwriting Assumptions'!$Q$74)</f>
        <v>48000</v>
      </c>
      <c r="AG227" s="1235"/>
      <c r="AH227" s="1235"/>
      <c r="AI227" s="1235"/>
    </row>
    <row r="228" spans="1:35">
      <c r="A228" s="1235"/>
      <c r="B228" s="1235"/>
      <c r="C228" s="1235"/>
      <c r="D228" s="1235"/>
      <c r="E228" s="1235"/>
      <c r="F228" s="1872" t="s">
        <v>531</v>
      </c>
      <c r="G228" s="1844">
        <f>SUM(G219:G227)</f>
        <v>191000</v>
      </c>
      <c r="H228" s="1844"/>
      <c r="I228" s="1235"/>
      <c r="J228" s="1833"/>
      <c r="K228" s="1833"/>
      <c r="L228" s="1833"/>
      <c r="M228" s="1833"/>
      <c r="N228" s="1833"/>
      <c r="O228" s="1235"/>
      <c r="P228" s="1833"/>
      <c r="Q228" s="1833"/>
      <c r="R228" s="1235"/>
      <c r="S228" s="1844">
        <f>SUM(S219:S227)</f>
        <v>191000</v>
      </c>
      <c r="T228" s="1844"/>
      <c r="U228" s="1235"/>
      <c r="V228" s="1868">
        <f>SUM(V219:V227)</f>
        <v>0</v>
      </c>
      <c r="W228" s="1920"/>
      <c r="X228" s="1920"/>
      <c r="Y228" s="1235"/>
      <c r="Z228" s="1235"/>
      <c r="AA228" s="1820" t="s">
        <v>650</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c r="A229" s="1235"/>
      <c r="B229" s="1815" t="s">
        <v>652</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645</v>
      </c>
      <c r="AC229" s="1820"/>
      <c r="AD229" s="1918">
        <f>SUM(AD227:AD228)</f>
        <v>60</v>
      </c>
      <c r="AE229" s="1235"/>
      <c r="AF229" s="1919">
        <f>SUM(AF227:AF228)</f>
        <v>48000</v>
      </c>
      <c r="AG229" s="1235"/>
      <c r="AH229" s="1235"/>
      <c r="AI229" s="1235"/>
    </row>
    <row r="230" spans="1:35">
      <c r="A230" s="1235"/>
      <c r="B230" s="1235" t="s">
        <v>653</v>
      </c>
      <c r="C230" s="1235"/>
      <c r="D230" s="1235"/>
      <c r="E230" s="1235"/>
      <c r="F230" s="1235"/>
      <c r="G230" s="1844">
        <f>'Part III-A-Uses of Funds'!G116</f>
        <v>3000</v>
      </c>
      <c r="H230" s="1844"/>
      <c r="I230" s="1235"/>
      <c r="J230" s="1844"/>
      <c r="K230" s="1844"/>
      <c r="L230" s="1833"/>
      <c r="M230" s="1844"/>
      <c r="N230" s="1844"/>
      <c r="O230" s="1235"/>
      <c r="P230" s="1844"/>
      <c r="Q230" s="1844"/>
      <c r="R230" s="1235"/>
      <c r="S230" s="1844">
        <f>'Part III-A-Uses of Funds'!S116</f>
        <v>3000</v>
      </c>
      <c r="T230" s="1844"/>
      <c r="U230" s="1235"/>
      <c r="V230" s="1868"/>
      <c r="W230" s="1869"/>
      <c r="X230" s="1869"/>
      <c r="Y230" s="1235"/>
      <c r="Z230" s="1235"/>
      <c r="AA230" s="1235"/>
      <c r="AB230" s="1235"/>
      <c r="AC230" s="1235"/>
      <c r="AD230" s="1235"/>
      <c r="AE230" s="1235"/>
      <c r="AF230" s="1235"/>
      <c r="AG230" s="1235"/>
      <c r="AH230" s="1235"/>
      <c r="AI230" s="1235"/>
    </row>
    <row r="231" spans="1:35">
      <c r="A231" s="1235"/>
      <c r="B231" s="1235" t="s">
        <v>654</v>
      </c>
      <c r="C231" s="1235"/>
      <c r="D231" s="1235"/>
      <c r="E231" s="1235"/>
      <c r="F231" s="1235"/>
      <c r="G231" s="1844">
        <f>'Part III-A-Uses of Funds'!G117</f>
        <v>0</v>
      </c>
      <c r="H231" s="1844"/>
      <c r="I231" s="1235"/>
      <c r="J231" s="1844"/>
      <c r="K231" s="1844"/>
      <c r="L231" s="1833"/>
      <c r="M231" s="1844"/>
      <c r="N231" s="1844"/>
      <c r="O231" s="1235"/>
      <c r="P231" s="1844"/>
      <c r="Q231" s="1844"/>
      <c r="R231" s="1235"/>
      <c r="S231" s="1844">
        <f>'Part III-A-Uses of Funds'!S117</f>
        <v>0</v>
      </c>
      <c r="T231" s="1844"/>
      <c r="U231" s="1235"/>
      <c r="V231" s="1868"/>
      <c r="W231" s="1869"/>
      <c r="X231" s="1869"/>
      <c r="Y231" s="1235"/>
      <c r="Z231" s="1235"/>
      <c r="AA231" s="1235"/>
      <c r="AB231" s="1235"/>
      <c r="AC231" s="1235"/>
      <c r="AD231" s="1235"/>
      <c r="AE231" s="1235"/>
      <c r="AF231" s="1235"/>
      <c r="AG231" s="1235"/>
      <c r="AH231" s="1235"/>
      <c r="AI231" s="1235"/>
    </row>
    <row r="232" spans="1:35">
      <c r="A232" s="1235"/>
      <c r="B232" s="1235" t="s">
        <v>655</v>
      </c>
      <c r="C232" s="1235"/>
      <c r="D232" s="1235"/>
      <c r="E232" s="1235"/>
      <c r="F232" s="1235"/>
      <c r="G232" s="1844">
        <f>'Part III-A-Uses of Funds'!G118</f>
        <v>40000</v>
      </c>
      <c r="H232" s="1844"/>
      <c r="I232" s="1235"/>
      <c r="J232" s="1844"/>
      <c r="K232" s="1844"/>
      <c r="L232" s="1833"/>
      <c r="M232" s="1844"/>
      <c r="N232" s="1844"/>
      <c r="O232" s="1235"/>
      <c r="P232" s="1844"/>
      <c r="Q232" s="1844"/>
      <c r="R232" s="1235"/>
      <c r="S232" s="1844">
        <f>'Part III-A-Uses of Funds'!S118</f>
        <v>40000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646</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531</v>
      </c>
      <c r="G234" s="1844">
        <f>SUM(G230:G233)</f>
        <v>43000</v>
      </c>
      <c r="H234" s="1844"/>
      <c r="I234" s="1235"/>
      <c r="J234" s="1844"/>
      <c r="K234" s="1844"/>
      <c r="L234" s="1833"/>
      <c r="M234" s="1844"/>
      <c r="N234" s="1844"/>
      <c r="O234" s="1235"/>
      <c r="P234" s="1844"/>
      <c r="Q234" s="1844"/>
      <c r="R234" s="1235"/>
      <c r="S234" s="1844">
        <f>SUM(S230:S233)</f>
        <v>43000</v>
      </c>
      <c r="T234" s="1844"/>
      <c r="U234" s="1235"/>
      <c r="V234" s="1868">
        <f>SUM(V230:V233)</f>
        <v>0</v>
      </c>
      <c r="W234" s="1869"/>
      <c r="X234" s="1869"/>
      <c r="Y234" s="1235"/>
      <c r="Z234" s="1235"/>
      <c r="AA234" s="1235"/>
      <c r="AB234" s="1235"/>
      <c r="AC234" s="290" t="s">
        <v>7520</v>
      </c>
      <c r="AD234" s="290" t="s">
        <v>7521</v>
      </c>
      <c r="AE234" s="290" t="s">
        <v>7522</v>
      </c>
      <c r="AF234" s="1820" t="s">
        <v>7523</v>
      </c>
      <c r="AG234" s="290" t="s">
        <v>660</v>
      </c>
      <c r="AH234" s="291" t="s">
        <v>7524</v>
      </c>
      <c r="AI234" s="291"/>
    </row>
    <row r="235" spans="1:35" ht="13.5">
      <c r="A235" s="1235"/>
      <c r="B235" s="1815" t="s">
        <v>662</v>
      </c>
      <c r="C235" s="1235"/>
      <c r="D235" s="1235"/>
      <c r="E235" s="1857" t="s">
        <v>627</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663</v>
      </c>
      <c r="Z235" s="290"/>
      <c r="AA235" s="899" t="s">
        <v>7525</v>
      </c>
      <c r="AB235" s="899" t="s">
        <v>7526</v>
      </c>
      <c r="AC235" s="290"/>
      <c r="AD235" s="290"/>
      <c r="AE235" s="290"/>
      <c r="AF235" s="1820"/>
      <c r="AG235" s="290"/>
      <c r="AH235" s="291"/>
      <c r="AI235" s="291"/>
    </row>
    <row r="236" spans="1:35" ht="13.5">
      <c r="A236" s="1235"/>
      <c r="B236" s="1235" t="s">
        <v>668</v>
      </c>
      <c r="C236" s="1235"/>
      <c r="D236" s="1235"/>
      <c r="E236" s="1235"/>
      <c r="F236" s="1850">
        <f>IF($G$127=0,0,G236/$G$127)</f>
        <v>22.4</v>
      </c>
      <c r="G236" s="1844">
        <f>'Part III-A-Uses of Funds'!G122</f>
        <v>560000</v>
      </c>
      <c r="H236" s="1844"/>
      <c r="I236" s="1235"/>
      <c r="J236" s="1844">
        <f>'Part III-A-Uses of Funds'!J122</f>
        <v>560000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18</v>
      </c>
      <c r="AG236" s="1924">
        <f>'DCA Underwriting Assumptions'!$Q$89</f>
        <v>2700000</v>
      </c>
      <c r="AH236" s="1848">
        <f>MIN(AF236,AG236)</f>
        <v>18</v>
      </c>
      <c r="AI236" s="1848"/>
    </row>
    <row r="237" spans="1:35" ht="13.5">
      <c r="A237" s="1235"/>
      <c r="B237" s="1235" t="s">
        <v>671</v>
      </c>
      <c r="C237" s="1235"/>
      <c r="D237" s="1235"/>
      <c r="E237" s="1235"/>
      <c r="F237" s="1925"/>
      <c r="G237" s="1921" t="s">
        <v>672</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5">
      <c r="A238" s="1235"/>
      <c r="B238" s="1235" t="s">
        <v>674</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18</v>
      </c>
      <c r="AF238" s="1924"/>
      <c r="AG238" s="1924"/>
      <c r="AH238" s="1848"/>
      <c r="AI238" s="1848"/>
    </row>
    <row r="239" spans="1:35" ht="13.5">
      <c r="A239" s="1235"/>
      <c r="B239" s="1235" t="s">
        <v>675</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18</v>
      </c>
      <c r="AG239" s="1924">
        <f>'DCA Underwriting Assumptions'!$Q$90</f>
        <v>4500000</v>
      </c>
      <c r="AH239" s="1848">
        <f>MIN(AF239,AG239)</f>
        <v>18</v>
      </c>
      <c r="AI239" s="1848"/>
    </row>
    <row r="240" spans="1:35" ht="13.5">
      <c r="A240" s="1235"/>
      <c r="B240" s="1235" t="s">
        <v>676</v>
      </c>
      <c r="C240" s="1235"/>
      <c r="D240" s="1235"/>
      <c r="E240" s="1235"/>
      <c r="F240" s="1850">
        <f>IF($G$127=0,0,G240/$G$127)</f>
        <v>68.8</v>
      </c>
      <c r="G240" s="1844">
        <f>'Part III-A-Uses of Funds'!G126</f>
        <v>1720000</v>
      </c>
      <c r="H240" s="1844"/>
      <c r="I240" s="1235"/>
      <c r="J240" s="1844">
        <f>'Part III-A-Uses of Funds'!J126</f>
        <v>1720000</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5">
      <c r="A241" s="1926" t="str">
        <f>IF(G241&gt;E241,"DF over limit!  Round down/Enter nbr.","")</f>
        <v/>
      </c>
      <c r="B241" s="1927"/>
      <c r="C241" s="1235"/>
      <c r="D241" s="1857" t="s">
        <v>678</v>
      </c>
      <c r="E241" s="1928" t="str">
        <f>IF(AF236+AF239=0,"Fill in Rent Chart!",IF(F235="9%",AH236,IF(F235="4%",AH239,"Select App Type!")))</f>
        <v>Select App Type!</v>
      </c>
      <c r="F241" s="1872" t="s">
        <v>531</v>
      </c>
      <c r="G241" s="1844">
        <f>SUM(G236:G240)</f>
        <v>2280000</v>
      </c>
      <c r="H241" s="1844"/>
      <c r="I241" s="1235"/>
      <c r="J241" s="1844">
        <f>SUM(J236:J240)</f>
        <v>2280000</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18</v>
      </c>
      <c r="AF241" s="1924"/>
      <c r="AG241" s="1924"/>
      <c r="AH241" s="1848"/>
      <c r="AI241" s="1848"/>
    </row>
    <row r="242" spans="1:35">
      <c r="A242" s="1235"/>
      <c r="B242" s="1815" t="s">
        <v>680</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c r="A243" s="1235"/>
      <c r="B243" s="1235" t="s">
        <v>684</v>
      </c>
      <c r="C243" s="1235"/>
      <c r="D243" s="1235"/>
      <c r="E243" s="1235"/>
      <c r="F243" s="1235"/>
      <c r="G243" s="1844">
        <f>'Part III-A-Uses of Funds'!G129</f>
        <v>50000</v>
      </c>
      <c r="H243" s="1844"/>
      <c r="I243" s="1235"/>
      <c r="J243" s="1908"/>
      <c r="K243" s="1908"/>
      <c r="L243" s="1908"/>
      <c r="M243" s="1908"/>
      <c r="N243" s="1908"/>
      <c r="O243" s="1235"/>
      <c r="P243" s="1908"/>
      <c r="Q243" s="1908"/>
      <c r="R243" s="1235"/>
      <c r="S243" s="1844">
        <f>'Part III-A-Uses of Funds'!S129</f>
        <v>50000</v>
      </c>
      <c r="T243" s="1844"/>
      <c r="U243" s="1235"/>
      <c r="V243" s="1868"/>
      <c r="W243" s="1869"/>
      <c r="X243" s="1869"/>
      <c r="Y243" s="1235"/>
      <c r="Z243" s="591"/>
      <c r="AA243" s="1235"/>
      <c r="AB243" s="590"/>
      <c r="AE243" s="1235"/>
    </row>
    <row r="244" spans="1:35" ht="13.5">
      <c r="A244" s="1235"/>
      <c r="B244" s="1235" t="s">
        <v>687</v>
      </c>
      <c r="C244" s="1235"/>
      <c r="D244" s="1235"/>
      <c r="E244" s="1235"/>
      <c r="F244" s="1929">
        <f>+'Part V-Revenues &amp; Expenses'!$Q$250*('DCA Underwriting Assumptions'!$Q$105/12)</f>
        <v>90065</v>
      </c>
      <c r="G244" s="1844">
        <f>'Part III-A-Uses of Funds'!G130</f>
        <v>90065</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90065</v>
      </c>
      <c r="T244" s="1844"/>
      <c r="U244" s="1235"/>
      <c r="V244" s="1868"/>
      <c r="W244" s="1869"/>
      <c r="X244" s="1869"/>
      <c r="Z244" s="1922"/>
      <c r="AA244" s="1235"/>
      <c r="AB244" s="290"/>
      <c r="AC244" s="1235"/>
      <c r="AE244" s="1235"/>
      <c r="AF244" s="1235"/>
    </row>
    <row r="245" spans="1:35" ht="13.5">
      <c r="A245" s="1235"/>
      <c r="B245" s="1235" t="s">
        <v>688</v>
      </c>
      <c r="C245" s="1235"/>
      <c r="D245" s="1235"/>
      <c r="E245" s="1235"/>
      <c r="F245" s="1929">
        <f>'Part V-Revenues &amp; Expenses'!$Q$250*('DCA Underwriting Assumptions'!$Q$103/12)+('Part VI-Pro Forma'!$B$26+'Part VI-Pro Forma'!$B$27+'Part VI-Pro Forma'!$B$28+'Part VI-Pro Forma'!$B$29)*'DCA Underwriting Assumptions'!$Q$102/(-12)</f>
        <v>339408.30849123903</v>
      </c>
      <c r="G245" s="1844">
        <f>'Part III-A-Uses of Funds'!G131</f>
        <v>339409</v>
      </c>
      <c r="H245" s="1844"/>
      <c r="I245" s="1235"/>
      <c r="J245" s="1930" t="str">
        <f>IF(E245&gt;G245,"WARNING! ODR proposed is below minimum - add comment.","")</f>
        <v/>
      </c>
      <c r="K245" s="1908"/>
      <c r="L245" s="1908"/>
      <c r="M245" s="1908"/>
      <c r="N245" s="1908"/>
      <c r="O245" s="1235"/>
      <c r="P245" s="1908"/>
      <c r="Q245" s="1908"/>
      <c r="R245" s="1235"/>
      <c r="S245" s="1844">
        <f>'Part III-A-Uses of Funds'!S131</f>
        <v>339409</v>
      </c>
      <c r="T245" s="1844"/>
      <c r="U245" s="1235"/>
      <c r="V245" s="1868"/>
      <c r="W245" s="1869"/>
      <c r="X245" s="1869"/>
      <c r="Z245" s="1922"/>
      <c r="AA245" s="1235"/>
      <c r="AB245" s="290"/>
      <c r="AC245" s="1235"/>
      <c r="AE245" s="1235"/>
      <c r="AF245" s="1235"/>
    </row>
    <row r="246" spans="1:35" ht="13.5">
      <c r="A246" s="1235"/>
      <c r="B246" s="1235" t="s">
        <v>689</v>
      </c>
      <c r="C246" s="1235"/>
      <c r="D246" s="1235"/>
      <c r="E246" s="1874" t="s">
        <v>690</v>
      </c>
      <c r="F246" s="1929">
        <f>'Part V-Revenues &amp; Expenses'!$L$266+'Part V-Revenues &amp; Expenses'!$L$267</f>
        <v>127600</v>
      </c>
      <c r="G246" s="1844">
        <f>'Part III-A-Uses of Funds'!G132</f>
        <v>127600</v>
      </c>
      <c r="H246" s="1844"/>
      <c r="I246" s="1235"/>
      <c r="J246" s="1930"/>
      <c r="K246" s="1908"/>
      <c r="L246" s="1908"/>
      <c r="M246" s="1908"/>
      <c r="N246" s="1908"/>
      <c r="O246" s="1235"/>
      <c r="P246" s="1908"/>
      <c r="Q246" s="1908"/>
      <c r="R246" s="1235"/>
      <c r="S246" s="1844">
        <f>'Part III-A-Uses of Funds'!S132</f>
        <v>127600</v>
      </c>
      <c r="T246" s="1844"/>
      <c r="U246" s="1235"/>
      <c r="V246" s="1868"/>
      <c r="W246" s="1869"/>
      <c r="X246" s="1869"/>
      <c r="Z246" s="1922"/>
      <c r="AA246" s="1235"/>
      <c r="AB246" s="290"/>
      <c r="AC246" s="1235"/>
      <c r="AE246" s="1235"/>
      <c r="AF246" s="1235"/>
    </row>
    <row r="247" spans="1:35">
      <c r="A247" s="1235"/>
      <c r="B247" s="1235" t="s">
        <v>691</v>
      </c>
      <c r="C247" s="1235"/>
      <c r="D247" s="1235"/>
      <c r="E247" s="1235" t="s">
        <v>7527</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c r="A248" s="1235"/>
      <c r="B248" s="1235" t="s">
        <v>693</v>
      </c>
      <c r="C248" s="1235"/>
      <c r="D248" s="1235"/>
      <c r="E248" s="1874" t="s">
        <v>694</v>
      </c>
      <c r="F248" s="1929">
        <f>IF('Part V-Revenues &amp; Expenses'!$P$76=0,0,G248/'Part V-Revenues &amp; Expenses'!$P$76)</f>
        <v>1500</v>
      </c>
      <c r="G248" s="1844">
        <f>'Part III-A-Uses of Funds'!G134</f>
        <v>90000</v>
      </c>
      <c r="H248" s="1844"/>
      <c r="I248" s="1235"/>
      <c r="J248" s="1844">
        <f>'Part III-A-Uses of Funds'!J134</f>
        <v>90000</v>
      </c>
      <c r="K248" s="1844"/>
      <c r="L248" s="1833"/>
      <c r="M248" s="1844">
        <f>'Part III-A-Uses of Funds'!M134</f>
        <v>0</v>
      </c>
      <c r="N248" s="1844"/>
      <c r="O248" s="1235"/>
      <c r="P248" s="1844">
        <f>'Part III-A-Uses of Funds'!P134</f>
        <v>0</v>
      </c>
      <c r="Q248" s="1844"/>
      <c r="R248" s="1235"/>
      <c r="S248" s="1844">
        <f>'Part III-A-Uses of Funds'!S134</f>
        <v>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646</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c r="A250" s="1235"/>
      <c r="B250" s="1931"/>
      <c r="C250" s="1235"/>
      <c r="D250" s="1235"/>
      <c r="E250" s="1235"/>
      <c r="F250" s="1872" t="s">
        <v>531</v>
      </c>
      <c r="G250" s="1844">
        <f>SUM(G243:G249)</f>
        <v>697074</v>
      </c>
      <c r="H250" s="1844"/>
      <c r="I250" s="1235"/>
      <c r="J250" s="1844">
        <f>SUM(J248:J249)</f>
        <v>90000</v>
      </c>
      <c r="K250" s="1844"/>
      <c r="L250" s="1833"/>
      <c r="M250" s="1844">
        <f>SUM(M248:M249)</f>
        <v>0</v>
      </c>
      <c r="N250" s="1844"/>
      <c r="O250" s="1235"/>
      <c r="P250" s="1844">
        <f>SUM(P248:P249)</f>
        <v>0</v>
      </c>
      <c r="Q250" s="1844"/>
      <c r="R250" s="1235"/>
      <c r="S250" s="1844">
        <f>SUM(S243:S249)</f>
        <v>607074</v>
      </c>
      <c r="T250" s="1844"/>
      <c r="U250" s="1235"/>
      <c r="V250" s="1868">
        <f>SUM(V243:V249)</f>
        <v>0</v>
      </c>
      <c r="W250" s="1869"/>
      <c r="X250" s="1869"/>
      <c r="Y250" s="1235"/>
      <c r="Z250" s="1235"/>
      <c r="AA250" s="1235"/>
      <c r="AB250" s="1235"/>
      <c r="AC250" s="1235"/>
      <c r="AD250" s="1235"/>
      <c r="AE250" s="1235"/>
      <c r="AF250" s="1235"/>
      <c r="AG250" s="1235"/>
      <c r="AH250" s="1235"/>
      <c r="AI250" s="1235"/>
    </row>
    <row r="251" spans="1:35">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21</v>
      </c>
      <c r="B254" s="1865" t="s">
        <v>7519</v>
      </c>
      <c r="C254" s="1235"/>
      <c r="D254" s="1235"/>
      <c r="E254" s="1235"/>
      <c r="F254" s="1235"/>
      <c r="G254" s="1235"/>
      <c r="H254" s="1235"/>
      <c r="I254" s="1235"/>
      <c r="J254" s="1815" t="s">
        <v>512</v>
      </c>
      <c r="K254" s="1815"/>
      <c r="L254" s="1844"/>
      <c r="M254" s="1866" t="s">
        <v>513</v>
      </c>
      <c r="N254" s="1866"/>
      <c r="O254" s="1235"/>
      <c r="P254" s="1815" t="s">
        <v>514</v>
      </c>
      <c r="Q254" s="1815"/>
      <c r="R254" s="1235"/>
      <c r="S254" s="1815" t="s">
        <v>515</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c r="A255" s="1235"/>
      <c r="B255" s="1235"/>
      <c r="C255" s="1235"/>
      <c r="D255" s="1235"/>
      <c r="E255" s="1235"/>
      <c r="F255" s="1235"/>
      <c r="G255" s="1815" t="s">
        <v>516</v>
      </c>
      <c r="H255" s="1815"/>
      <c r="I255" s="1235"/>
      <c r="J255" s="1815"/>
      <c r="K255" s="1815"/>
      <c r="L255" s="1844"/>
      <c r="M255" s="1866"/>
      <c r="N255" s="1866"/>
      <c r="O255" s="1235"/>
      <c r="P255" s="1815"/>
      <c r="Q255" s="1815"/>
      <c r="R255" s="1235"/>
      <c r="S255" s="1815"/>
      <c r="T255" s="1815"/>
      <c r="U255" s="1235"/>
      <c r="V255" s="269" t="s">
        <v>349</v>
      </c>
      <c r="W255" s="1235"/>
      <c r="X255" s="269"/>
      <c r="Y255" s="1235"/>
      <c r="Z255" s="1235"/>
      <c r="AA255" s="1235"/>
      <c r="AB255" s="1235"/>
      <c r="AC255" s="1235"/>
      <c r="AD255" s="1235"/>
      <c r="AE255" s="1235"/>
      <c r="AF255" s="1235"/>
      <c r="AG255" s="1235"/>
      <c r="AH255" s="1235"/>
      <c r="AI255" s="1235"/>
    </row>
    <row r="256" spans="1:35">
      <c r="A256" s="1235"/>
      <c r="B256" s="1815" t="s">
        <v>696</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c r="A257" s="1235"/>
      <c r="B257" s="1235" t="s">
        <v>697</v>
      </c>
      <c r="C257" s="1821"/>
      <c r="D257" s="1235"/>
      <c r="E257" s="1235"/>
      <c r="F257" s="1235"/>
      <c r="G257" s="1844">
        <f>'Part III-A-Uses of Funds'!G143</f>
        <v>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646</v>
      </c>
      <c r="C258" s="1741" t="str">
        <f>'Part III-A-Uses of Funds'!C144</f>
        <v>&lt;&lt; Enter description here; provide detail &amp; justification in tab Part III-b &gt;&gt;</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c r="A259" s="1235"/>
      <c r="B259" s="1235"/>
      <c r="C259" s="1821"/>
      <c r="D259" s="1235"/>
      <c r="E259" s="1235"/>
      <c r="F259" s="1872" t="s">
        <v>531</v>
      </c>
      <c r="G259" s="1844">
        <f>SUM(G257:G258)</f>
        <v>0</v>
      </c>
      <c r="H259" s="1844"/>
      <c r="I259" s="1235"/>
      <c r="J259" s="1844">
        <f>SUM(J257:J258)</f>
        <v>0</v>
      </c>
      <c r="K259" s="1844"/>
      <c r="L259" s="1833"/>
      <c r="M259" s="1844">
        <f>SUM(M257:M258)</f>
        <v>0</v>
      </c>
      <c r="N259" s="1844"/>
      <c r="O259" s="1235"/>
      <c r="P259" s="1844">
        <f>SUM(P257:P258)</f>
        <v>0</v>
      </c>
      <c r="Q259" s="1844"/>
      <c r="R259" s="1235"/>
      <c r="S259" s="1844">
        <f>SUM(S257:S258)</f>
        <v>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6.5">
      <c r="A261" s="1235"/>
      <c r="B261" s="1935" t="s">
        <v>7528</v>
      </c>
      <c r="C261" s="1235"/>
      <c r="D261" s="1235"/>
      <c r="E261" s="1874"/>
      <c r="F261" s="1936"/>
      <c r="G261" s="1866">
        <f>G132+G138+G142+G150+G155+G160+G169+G187+G200+G206+G217+G228+G234+G241+G250+G259</f>
        <v>20514507</v>
      </c>
      <c r="H261" s="1866"/>
      <c r="I261" s="1235"/>
      <c r="J261" s="1866">
        <f>J132+J138+J142+J150+J155+J160+J169+J187+J200+J206+J217+J228+J234+J241+J250+J259</f>
        <v>18862292</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1652215</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c r="A263" s="1235"/>
      <c r="B263" s="1937" t="s">
        <v>7529</v>
      </c>
      <c r="C263" s="1887"/>
      <c r="D263" s="1938">
        <f>IF('Part V-Revenues &amp; Expenses'!$P$76=0,0,G261/'Part V-Revenues &amp; Expenses'!$P$76)</f>
        <v>341908.45</v>
      </c>
      <c r="E263" s="1938"/>
      <c r="F263" s="1904" t="s">
        <v>700</v>
      </c>
      <c r="G263" s="1938">
        <f>IF('Part V-Revenues &amp; Expenses'!$K$197=0,0,G261/'Part V-Revenues &amp; Expenses'!$K$197)</f>
        <v>305.20273446798382</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25</v>
      </c>
      <c r="B265" s="1940" t="s">
        <v>701</v>
      </c>
      <c r="C265" s="1816"/>
      <c r="D265" s="1833"/>
      <c r="E265" s="1833"/>
      <c r="F265" s="1833"/>
      <c r="G265" s="1235"/>
      <c r="H265" s="1235"/>
      <c r="I265" s="1941"/>
      <c r="J265" s="1815" t="s">
        <v>512</v>
      </c>
      <c r="K265" s="1815"/>
      <c r="L265" s="1235"/>
      <c r="M265" s="1815" t="s">
        <v>702</v>
      </c>
      <c r="N265" s="1815"/>
      <c r="O265" s="1235"/>
      <c r="P265" s="1815" t="s">
        <v>514</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c r="A266" s="1235"/>
      <c r="B266" s="1824" t="s">
        <v>703</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c r="A268" s="1235"/>
      <c r="B268" s="1821" t="s">
        <v>704</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c r="A269" s="1235"/>
      <c r="B269" s="1235" t="s">
        <v>705</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c r="A270" s="1235"/>
      <c r="B270" s="1235" t="s">
        <v>706</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c r="A271" s="1235"/>
      <c r="B271" s="1235" t="s">
        <v>707</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c r="A272" s="1235"/>
      <c r="B272" s="1235" t="s">
        <v>708</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709</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c r="A274" s="1235"/>
      <c r="B274" s="1815" t="s">
        <v>711</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c r="A276" s="1235"/>
      <c r="B276" s="1815" t="s">
        <v>712</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713</v>
      </c>
      <c r="C277" s="1235"/>
      <c r="D277" s="1235"/>
      <c r="E277" s="1235"/>
      <c r="F277" s="1235"/>
      <c r="G277" s="1235"/>
      <c r="H277" s="1235"/>
      <c r="I277" s="1235"/>
      <c r="J277" s="1849">
        <f>J261</f>
        <v>18862292</v>
      </c>
      <c r="K277" s="1849"/>
      <c r="L277" s="1235"/>
      <c r="M277" s="1849">
        <f>M261</f>
        <v>0</v>
      </c>
      <c r="N277" s="1849"/>
      <c r="O277" s="1235"/>
      <c r="P277" s="1849">
        <f>P261</f>
        <v>0</v>
      </c>
      <c r="Q277" s="1849"/>
      <c r="R277" s="1943" t="s">
        <v>714</v>
      </c>
      <c r="S277" s="1943"/>
      <c r="T277" s="1943"/>
      <c r="U277" s="1235"/>
      <c r="V277" s="1868"/>
      <c r="W277" s="1869"/>
      <c r="X277" s="1869"/>
      <c r="Y277" s="1235"/>
      <c r="Z277" s="1235"/>
      <c r="AA277" s="1235"/>
      <c r="AB277" s="1235"/>
      <c r="AC277" s="1235"/>
      <c r="AD277" s="1235"/>
      <c r="AE277" s="1235"/>
      <c r="AF277" s="1235"/>
      <c r="AG277" s="1235"/>
      <c r="AH277" s="1235"/>
      <c r="AI277" s="1235"/>
    </row>
    <row r="278" spans="1:35">
      <c r="A278" s="1235"/>
      <c r="B278" s="1235" t="s">
        <v>715</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716</v>
      </c>
      <c r="C279" s="1235"/>
      <c r="D279" s="1235"/>
      <c r="E279" s="1235"/>
      <c r="F279" s="1235"/>
      <c r="G279" s="1235"/>
      <c r="H279" s="1235"/>
      <c r="I279" s="1235"/>
      <c r="J279" s="1849">
        <f>J277-J278</f>
        <v>18862292</v>
      </c>
      <c r="K279" s="1849"/>
      <c r="L279" s="1235"/>
      <c r="M279" s="1849">
        <f>M277</f>
        <v>0</v>
      </c>
      <c r="N279" s="1849"/>
      <c r="O279" s="1235"/>
      <c r="P279" s="1849">
        <f>P277-P278</f>
        <v>0</v>
      </c>
      <c r="Q279" s="1849"/>
      <c r="R279" s="1820" t="str">
        <f>'Part III-A-Uses of Funds'!R165</f>
        <v>&lt;&lt; Select Category of Eligibility&gt;&gt;</v>
      </c>
      <c r="S279" s="1820"/>
      <c r="T279" s="1820"/>
      <c r="U279" s="1820"/>
      <c r="V279" s="1868"/>
      <c r="W279" s="1869"/>
      <c r="X279" s="1869"/>
      <c r="Y279" s="1235"/>
      <c r="Z279" s="1235"/>
      <c r="AA279" s="1235"/>
      <c r="AB279" s="1235"/>
      <c r="AC279" s="1235"/>
      <c r="AD279" s="1235"/>
      <c r="AE279" s="1235"/>
      <c r="AF279" s="1235"/>
      <c r="AG279" s="1235"/>
      <c r="AH279" s="1235"/>
      <c r="AI279" s="1235"/>
    </row>
    <row r="280" spans="1:35">
      <c r="A280" s="1235"/>
      <c r="B280" s="1235" t="s">
        <v>718</v>
      </c>
      <c r="C280" s="1235"/>
      <c r="D280" s="1235"/>
      <c r="E280" s="1235"/>
      <c r="F280" s="1235"/>
      <c r="G280" s="1086" t="s">
        <v>719</v>
      </c>
      <c r="H280" s="1235" t="str">
        <f>'Part III-A-Uses of Funds'!H166</f>
        <v>&lt;&lt;Select&gt;&gt;</v>
      </c>
      <c r="I280" s="1235"/>
      <c r="J280" s="1944">
        <f>'Part III-A-Uses of Funds'!J166</f>
        <v>1</v>
      </c>
      <c r="K280" s="1944"/>
      <c r="L280" s="1235"/>
      <c r="M280" s="1944"/>
      <c r="N280" s="1944"/>
      <c r="O280" s="1235"/>
      <c r="P280" s="1944">
        <f>'Part III-A-Uses of Funds'!P166</f>
        <v>0</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c r="A281" s="1235"/>
      <c r="B281" s="1235" t="s">
        <v>721</v>
      </c>
      <c r="C281" s="1235"/>
      <c r="D281" s="1235"/>
      <c r="E281" s="1235"/>
      <c r="F281" s="1235"/>
      <c r="G281" s="1235"/>
      <c r="H281" s="1235"/>
      <c r="I281" s="1235"/>
      <c r="J281" s="1849">
        <f>J279*J280</f>
        <v>18862292</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c r="A282" s="1235"/>
      <c r="B282" s="1235" t="s">
        <v>722</v>
      </c>
      <c r="C282" s="1235"/>
      <c r="D282" s="1235"/>
      <c r="E282" s="1235"/>
      <c r="F282" s="1235"/>
      <c r="G282" s="1235"/>
      <c r="H282" s="1235"/>
      <c r="I282" s="1235"/>
      <c r="J282" s="1945">
        <f>MIN('Part V-Revenues &amp; Expenses'!$P$72/'Part V-Revenues &amp; Expenses'!$P$74,'Part V-Revenues &amp; Expenses'!$P$186/'Part V-Revenues &amp; Expenses'!$P$188)</f>
        <v>1</v>
      </c>
      <c r="K282" s="1945"/>
      <c r="L282" s="1235"/>
      <c r="M282" s="1945">
        <f>MIN('Part V-Revenues &amp; Expenses'!$P$72/'Part V-Revenues &amp; Expenses'!$P$74,'Part V-Revenues &amp; Expenses'!$P$186/'Part V-Revenues &amp; Expenses'!$P$188)</f>
        <v>1</v>
      </c>
      <c r="N282" s="1945"/>
      <c r="O282" s="1235"/>
      <c r="P282" s="1945">
        <f>MIN('Part V-Revenues &amp; Expenses'!$P$72/'Part V-Revenues &amp; Expenses'!$P$74,'Part V-Revenues &amp; Expenses'!$P$186/'Part V-Revenues &amp; Expenses'!$P$188)</f>
        <v>1</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c r="A283" s="1235"/>
      <c r="B283" s="1235" t="s">
        <v>724</v>
      </c>
      <c r="C283" s="1235"/>
      <c r="D283" s="1235"/>
      <c r="E283" s="1235"/>
      <c r="F283" s="1235"/>
      <c r="G283" s="1235"/>
      <c r="H283" s="1235"/>
      <c r="I283" s="1235"/>
      <c r="J283" s="1849">
        <f>J281*J282</f>
        <v>18862292</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c r="A284" s="1235"/>
      <c r="B284" s="1235" t="s">
        <v>725</v>
      </c>
      <c r="C284" s="1235"/>
      <c r="D284" s="1235"/>
      <c r="E284" s="1235"/>
      <c r="F284" s="1235"/>
      <c r="G284" s="1235"/>
      <c r="H284" s="1235"/>
      <c r="I284" s="1235"/>
      <c r="J284" s="1944">
        <f>'Part III-A-Uses of Funds'!J170</f>
        <v>0.09</v>
      </c>
      <c r="K284" s="1944"/>
      <c r="L284" s="1235"/>
      <c r="M284" s="1944">
        <f>'Part III-A-Uses of Funds'!M170</f>
        <v>0</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c r="A285" s="1235"/>
      <c r="B285" s="1235" t="s">
        <v>726</v>
      </c>
      <c r="C285" s="1235"/>
      <c r="D285" s="1235"/>
      <c r="E285" s="1235"/>
      <c r="F285" s="1235"/>
      <c r="G285" s="1235"/>
      <c r="H285" s="1235"/>
      <c r="I285" s="1235"/>
      <c r="J285" s="1849">
        <f>J283*J284</f>
        <v>1697606.28</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c r="A286" s="1235"/>
      <c r="B286" s="1815" t="s">
        <v>727</v>
      </c>
      <c r="C286" s="1235"/>
      <c r="D286" s="1235"/>
      <c r="E286" s="1235"/>
      <c r="F286" s="1235"/>
      <c r="G286" s="1235"/>
      <c r="H286" s="1235"/>
      <c r="I286" s="1235"/>
      <c r="J286" s="1848">
        <f>ROUNDDOWN(J285+M285+P285,0)</f>
        <v>1697606</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6.5">
      <c r="A288" s="1867" t="s">
        <v>31</v>
      </c>
      <c r="B288" s="1867" t="s">
        <v>728</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6.5">
      <c r="A290" s="1235"/>
      <c r="B290" s="1815" t="s">
        <v>729</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7530</v>
      </c>
      <c r="C291" s="1235"/>
      <c r="D291" s="1235"/>
      <c r="E291" s="1235"/>
      <c r="F291" s="1235"/>
      <c r="G291" s="1235"/>
      <c r="H291" s="1235"/>
      <c r="I291" s="1235"/>
      <c r="J291" s="1849">
        <f>G261</f>
        <v>20514507</v>
      </c>
      <c r="K291" s="1849"/>
      <c r="L291" s="1849"/>
      <c r="M291" s="1235"/>
      <c r="N291" s="1943" t="s">
        <v>731</v>
      </c>
      <c r="O291" s="1943"/>
      <c r="P291" s="1943"/>
      <c r="Q291" s="1943"/>
      <c r="R291" s="1235"/>
      <c r="S291" s="1820" t="s">
        <v>732</v>
      </c>
      <c r="T291" s="1820"/>
      <c r="U291" s="1235"/>
      <c r="V291" s="1868"/>
      <c r="W291" s="1869"/>
      <c r="X291" s="1869"/>
      <c r="Y291" s="1235"/>
      <c r="Z291" s="1235"/>
      <c r="AA291" s="1235"/>
      <c r="AB291" s="1235"/>
      <c r="AC291" s="1235"/>
      <c r="AD291" s="1235"/>
      <c r="AE291" s="1235"/>
      <c r="AF291" s="1235"/>
      <c r="AG291" s="1235"/>
      <c r="AH291" s="1235"/>
      <c r="AI291" s="1235"/>
    </row>
    <row r="292" spans="1:35">
      <c r="A292" s="1235"/>
      <c r="B292" s="1235" t="s">
        <v>733</v>
      </c>
      <c r="C292" s="1235"/>
      <c r="D292" s="1235"/>
      <c r="E292" s="1235"/>
      <c r="F292" s="1235"/>
      <c r="G292" s="1235"/>
      <c r="H292" s="1235"/>
      <c r="I292" s="1235"/>
      <c r="J292" s="1849">
        <f>'Part II-Sources of Funds'!$I$62-'Part II-Sources of Funds'!$I$46-'Part II-Sources of Funds'!$I$47-'Part II-Sources of Funds'!$I$53-'Part II-Sources of Funds'!$I$54</f>
        <v>4150110</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c r="A293" s="1235"/>
      <c r="B293" s="1235" t="s">
        <v>734</v>
      </c>
      <c r="C293" s="1235"/>
      <c r="D293" s="1235"/>
      <c r="E293" s="1235"/>
      <c r="F293" s="1235"/>
      <c r="G293" s="1235"/>
      <c r="H293" s="1235"/>
      <c r="I293" s="1235"/>
      <c r="J293" s="1849">
        <f>+J291-J292</f>
        <v>16364397</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5">
      <c r="A294" s="1235"/>
      <c r="B294" s="1235" t="s">
        <v>735</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736</v>
      </c>
      <c r="T294" s="1950">
        <f>'Part III-A-Uses of Funds'!T180</f>
        <v>0</v>
      </c>
      <c r="U294" s="1235"/>
      <c r="V294" s="1868"/>
      <c r="W294" s="1869"/>
      <c r="X294" s="1869"/>
      <c r="Y294" s="1235"/>
      <c r="Z294" s="1235"/>
      <c r="AA294" s="1235"/>
      <c r="AB294" s="1235"/>
      <c r="AC294" s="1235"/>
      <c r="AD294" s="1235"/>
      <c r="AE294" s="1235"/>
      <c r="AF294" s="1235"/>
      <c r="AG294" s="1235"/>
      <c r="AH294" s="1235"/>
      <c r="AI294" s="1235"/>
    </row>
    <row r="295" spans="1:35" ht="13.5">
      <c r="A295" s="1235"/>
      <c r="B295" s="1235" t="s">
        <v>737</v>
      </c>
      <c r="C295" s="1235"/>
      <c r="D295" s="1235"/>
      <c r="E295" s="1235"/>
      <c r="F295" s="1235"/>
      <c r="G295" s="1235"/>
      <c r="H295" s="1235"/>
      <c r="I295" s="1235"/>
      <c r="J295" s="1849">
        <f>J293/10</f>
        <v>1636439.7</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c r="A296" s="1235"/>
      <c r="B296" s="1235"/>
      <c r="C296" s="1235"/>
      <c r="D296" s="1235"/>
      <c r="E296" s="1235"/>
      <c r="F296" s="1235"/>
      <c r="G296" s="1235"/>
      <c r="H296" s="1235"/>
      <c r="I296" s="1235"/>
      <c r="J296" s="1235"/>
      <c r="K296" s="1235"/>
      <c r="L296" s="1235"/>
      <c r="M296" s="270"/>
      <c r="N296" s="1235" t="s">
        <v>738</v>
      </c>
      <c r="O296" s="1235"/>
      <c r="P296" s="1235"/>
      <c r="Q296" s="1235" t="s">
        <v>192</v>
      </c>
      <c r="R296" s="1235"/>
      <c r="S296" s="1235"/>
      <c r="T296" s="1235"/>
      <c r="U296" s="1235"/>
      <c r="V296" s="1868"/>
      <c r="W296" s="1869"/>
      <c r="X296" s="1869"/>
      <c r="Y296" s="1235"/>
      <c r="Z296" s="1235" t="s">
        <v>720</v>
      </c>
      <c r="AA296" s="1235"/>
      <c r="AB296" s="1235"/>
      <c r="AC296" s="1235"/>
      <c r="AD296" s="1235"/>
      <c r="AE296" s="1235"/>
      <c r="AF296" s="1235"/>
      <c r="AG296" s="1235"/>
      <c r="AH296" s="1235"/>
      <c r="AI296" s="1235"/>
    </row>
    <row r="297" spans="1:35">
      <c r="A297" s="1235"/>
      <c r="B297" s="1235" t="s">
        <v>7531</v>
      </c>
      <c r="C297" s="1235"/>
      <c r="D297" s="1235"/>
      <c r="E297" s="1235"/>
      <c r="F297" s="1235"/>
      <c r="G297" s="1235"/>
      <c r="H297" s="1235"/>
      <c r="I297" s="1235"/>
      <c r="J297" s="1951">
        <f>N297+Q297</f>
        <v>1.21</v>
      </c>
      <c r="K297" s="1951"/>
      <c r="L297" s="1951"/>
      <c r="M297" s="1086" t="s">
        <v>740</v>
      </c>
      <c r="N297" s="1952">
        <f>'Part III-A-Uses of Funds'!N183</f>
        <v>0.78</v>
      </c>
      <c r="O297" s="1952"/>
      <c r="P297" s="1086" t="s">
        <v>741</v>
      </c>
      <c r="Q297" s="1952">
        <f>'Part III-A-Uses of Funds'!Q183</f>
        <v>0.43</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c r="A298" s="1235"/>
      <c r="B298" s="1815" t="s">
        <v>742</v>
      </c>
      <c r="C298" s="1235"/>
      <c r="D298" s="1235"/>
      <c r="E298" s="1235"/>
      <c r="F298" s="1235"/>
      <c r="G298" s="1235"/>
      <c r="H298" s="1235"/>
      <c r="I298" s="1235"/>
      <c r="J298" s="1848">
        <f>ROUNDDOWN(IF(J297=0,"",J295/J297),0)</f>
        <v>1352429</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6.5">
      <c r="A300" s="1867" t="s">
        <v>43</v>
      </c>
      <c r="B300" s="1867" t="s">
        <v>743</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c r="A302" s="1235"/>
      <c r="B302" s="1815" t="s">
        <v>7532</v>
      </c>
      <c r="C302" s="1235"/>
      <c r="D302" s="1235"/>
      <c r="E302" s="1235"/>
      <c r="F302" s="1235"/>
      <c r="G302" s="1235"/>
      <c r="H302" s="1235"/>
      <c r="I302" s="1235"/>
      <c r="J302" s="1848">
        <f>'Part III-A-Uses of Funds'!J188</f>
        <v>1350000</v>
      </c>
      <c r="K302" s="1848"/>
      <c r="L302" s="1848"/>
      <c r="M302" s="1235"/>
      <c r="N302" s="1235"/>
      <c r="O302" s="1235"/>
      <c r="P302" s="1235"/>
      <c r="Q302" s="1820" t="s">
        <v>745</v>
      </c>
      <c r="R302" s="1820"/>
      <c r="S302" s="1820" t="str">
        <f>'Part VIII Scoring Criteria'!$X$11</f>
        <v>Other Metro</v>
      </c>
      <c r="T302" s="1820"/>
      <c r="U302" s="1086" t="str">
        <f>IF(OR(S302="Atlanta Metro", "Other Metro"), "Metro", IF(S302="Rural","Rural",""))</f>
        <v/>
      </c>
      <c r="V302" s="1868"/>
      <c r="W302" s="1869"/>
      <c r="X302" s="1869"/>
      <c r="Y302" s="1235"/>
      <c r="Z302" s="1235"/>
      <c r="AA302" s="1235"/>
      <c r="AB302" s="1235"/>
      <c r="AC302" s="1235"/>
      <c r="AD302" s="1235"/>
      <c r="AE302" s="1235"/>
      <c r="AF302" s="1235"/>
      <c r="AG302" s="1235"/>
      <c r="AH302" s="1235"/>
      <c r="AI302" s="1235"/>
    </row>
    <row r="303" spans="1:35">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c r="A304" s="1235"/>
      <c r="B304" s="1815" t="s">
        <v>7533</v>
      </c>
      <c r="C304" s="1235"/>
      <c r="D304" s="1235"/>
      <c r="E304" s="1235"/>
      <c r="F304" s="1235"/>
      <c r="G304" s="1235"/>
      <c r="H304" s="1235"/>
      <c r="I304" s="1235"/>
      <c r="J304" s="1848">
        <f>'Part III-A-Uses of Funds'!J190</f>
        <v>1350000</v>
      </c>
      <c r="K304" s="1848"/>
      <c r="L304" s="1848"/>
      <c r="M304" s="1955" t="str">
        <f>IF(J302=0,"",IF(J304&gt;J302,"Request can't exceed Maximum - REVISE (Try Round Down)!",""))</f>
        <v/>
      </c>
      <c r="N304" s="1955"/>
      <c r="O304" s="1955"/>
      <c r="P304" s="1955"/>
      <c r="Q304" s="1921" t="s">
        <v>747</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6.5">
      <c r="A306" s="1867"/>
      <c r="B306" s="1867" t="s">
        <v>7534</v>
      </c>
      <c r="C306" s="1235"/>
      <c r="D306" s="270"/>
      <c r="E306" s="270"/>
      <c r="F306" s="1821"/>
      <c r="G306" s="1235"/>
      <c r="H306" s="1235"/>
      <c r="I306" s="1235"/>
      <c r="J306" s="1848">
        <f>IF(J304="",0,+MIN(J302,J304))</f>
        <v>1350000</v>
      </c>
      <c r="K306" s="1848"/>
      <c r="L306" s="1848"/>
      <c r="M306" s="1955"/>
      <c r="N306" s="1955"/>
      <c r="O306" s="1955"/>
      <c r="P306" s="1955"/>
      <c r="Q306" s="290" t="s">
        <v>627</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c r="A309" s="1815" t="s">
        <v>57</v>
      </c>
      <c r="B309" s="269" t="s">
        <v>67</v>
      </c>
      <c r="C309" s="270"/>
      <c r="D309" s="270"/>
      <c r="E309" s="270"/>
      <c r="F309" s="270"/>
      <c r="G309" s="270"/>
      <c r="H309" s="270"/>
      <c r="I309" s="270"/>
      <c r="J309" s="270"/>
      <c r="K309" s="270"/>
      <c r="L309" s="270"/>
      <c r="M309" s="270"/>
      <c r="N309" s="1815" t="s">
        <v>66</v>
      </c>
      <c r="O309" s="1815" t="s">
        <v>69</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f>'Part III-A-Uses of Funds'!A196</f>
        <v>0</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288</v>
      </c>
      <c r="X310" s="1957"/>
      <c r="Y310" s="270"/>
      <c r="Z310" s="270"/>
      <c r="AA310" s="270"/>
      <c r="AB310" s="270"/>
      <c r="AC310" s="270"/>
      <c r="AD310" s="270"/>
      <c r="AE310" s="270"/>
      <c r="AF310" s="270"/>
      <c r="AG310" s="270"/>
      <c r="AH310" s="270"/>
      <c r="AI310" s="270"/>
    </row>
    <row r="315" spans="1:35" ht="15.75">
      <c r="A315" s="1958" t="str">
        <f>CONCATENATE("PART THREE (B) -  OTHER COSTS","  -  ",'Part I-Project Identification'!$O$7," - ",'Part I-Project Identification'!$F$27,"  -  ",'Part I-Project Identification'!$F$28,"  -  ",'Part I-Project Identification'!$J$28,",  ","County")</f>
        <v>PART THREE (B) -  OTHER COSTS  -  2026-0xx - Westchester Village II  -  Jonesboro  -  Clayton,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749</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7535</v>
      </c>
      <c r="B319" s="1961"/>
      <c r="C319" s="1961"/>
      <c r="D319" s="1961"/>
      <c r="E319" s="1959"/>
      <c r="F319" s="1962" t="s">
        <v>751</v>
      </c>
      <c r="G319" s="1963"/>
      <c r="H319" s="1962" t="s">
        <v>752</v>
      </c>
    </row>
    <row r="320" spans="1:35">
      <c r="A320" s="1963"/>
      <c r="B320" s="1963"/>
      <c r="C320" s="1963"/>
      <c r="D320" s="1963"/>
      <c r="E320" s="1959"/>
      <c r="F320" s="1959"/>
      <c r="G320" s="1959"/>
      <c r="H320" s="1959"/>
    </row>
    <row r="321" spans="1:8" ht="13.5">
      <c r="A321" s="1964"/>
      <c r="B321" s="1964"/>
      <c r="C321" s="1964"/>
      <c r="D321" s="1964"/>
      <c r="E321" s="1964"/>
      <c r="F321" s="1964"/>
      <c r="G321" s="1964"/>
      <c r="H321" s="1965"/>
    </row>
    <row r="322" spans="1:8">
      <c r="A322" s="1966" t="s">
        <v>517</v>
      </c>
      <c r="B322" s="1967"/>
      <c r="C322" s="1967"/>
      <c r="D322" s="1967"/>
      <c r="E322" s="1967"/>
      <c r="F322" s="1967"/>
      <c r="G322" s="1967"/>
      <c r="H322" s="1967"/>
    </row>
    <row r="323" spans="1:8" ht="13.5" customHeight="1">
      <c r="A323" s="1968" t="str">
        <f>'Part III-A-Uses of Funds'!$C$15</f>
        <v>&lt;&lt; Enter description here; provide detail &amp; justification in tab Part III-b &gt;&gt;</v>
      </c>
      <c r="B323" s="1968"/>
      <c r="C323" s="1968"/>
      <c r="D323" s="1968"/>
      <c r="E323" s="1965"/>
      <c r="F323" s="1969">
        <f>'Part III-B-Other Items'!F9</f>
        <v>0</v>
      </c>
      <c r="G323" s="1967"/>
      <c r="H323" s="1969">
        <f>'Part III-B-Other Items'!H9</f>
        <v>0</v>
      </c>
    </row>
    <row r="324" spans="1:8" ht="13.5">
      <c r="A324" s="1968"/>
      <c r="B324" s="1968"/>
      <c r="C324" s="1968"/>
      <c r="D324" s="1968"/>
      <c r="E324" s="1965"/>
      <c r="F324" s="1969"/>
      <c r="G324" s="1967"/>
      <c r="H324" s="1969"/>
    </row>
    <row r="325" spans="1:8" ht="13.5">
      <c r="A325" s="1965"/>
      <c r="B325" s="1965"/>
      <c r="C325" s="1965"/>
      <c r="D325" s="1965"/>
      <c r="E325" s="1965"/>
      <c r="F325" s="1969"/>
      <c r="G325" s="1967"/>
      <c r="H325" s="1969"/>
    </row>
    <row r="326" spans="1:8" ht="13.5">
      <c r="A326" s="1970" t="s">
        <v>753</v>
      </c>
      <c r="B326" s="1971">
        <f>'Part III-A-Uses of Funds'!$G$15</f>
        <v>0</v>
      </c>
      <c r="C326" s="1970" t="s">
        <v>713</v>
      </c>
      <c r="D326" s="1971">
        <f>'Part III-A-Uses of Funds'!$J$15+'Part III-A-Uses of Funds'!$M$15+'Part III-A-Uses of Funds'!$P$15</f>
        <v>0</v>
      </c>
      <c r="E326" s="1965"/>
      <c r="F326" s="1969"/>
      <c r="G326" s="1967"/>
      <c r="H326" s="1969"/>
    </row>
    <row r="327" spans="1:8" ht="13.5">
      <c r="A327" s="1967"/>
      <c r="B327" s="1972"/>
      <c r="C327" s="1967"/>
      <c r="D327" s="1967"/>
      <c r="E327" s="1965"/>
      <c r="F327" s="1969"/>
      <c r="G327" s="1973"/>
      <c r="H327" s="1969"/>
    </row>
    <row r="328" spans="1:8" ht="13.5" customHeight="1">
      <c r="A328" s="1968" t="str">
        <f>'Part III-A-Uses of Funds'!$C$16</f>
        <v>&lt;&lt; Enter description here; provide detail &amp; justification in tab Part III-b &gt;&gt;</v>
      </c>
      <c r="B328" s="1968"/>
      <c r="C328" s="1968"/>
      <c r="D328" s="1968"/>
      <c r="E328" s="1965"/>
      <c r="F328" s="1969">
        <f>'Part III-B-Other Items'!F14</f>
        <v>0</v>
      </c>
      <c r="G328" s="1967"/>
      <c r="H328" s="1969">
        <f>'Part III-B-Other Items'!H14</f>
        <v>0</v>
      </c>
    </row>
    <row r="329" spans="1:8" ht="13.5">
      <c r="A329" s="1968"/>
      <c r="B329" s="1968"/>
      <c r="C329" s="1968"/>
      <c r="D329" s="1968"/>
      <c r="E329" s="1965"/>
      <c r="F329" s="1969"/>
      <c r="G329" s="1967"/>
      <c r="H329" s="1969"/>
    </row>
    <row r="330" spans="1:8" ht="13.5">
      <c r="A330" s="1965"/>
      <c r="B330" s="1965"/>
      <c r="C330" s="1965"/>
      <c r="D330" s="1965"/>
      <c r="E330" s="1965"/>
      <c r="F330" s="1969"/>
      <c r="G330" s="1967"/>
      <c r="H330" s="1969"/>
    </row>
    <row r="331" spans="1:8" ht="13.5">
      <c r="A331" s="1970" t="s">
        <v>753</v>
      </c>
      <c r="B331" s="1971">
        <f>'Part III-A-Uses of Funds'!$G$16</f>
        <v>0</v>
      </c>
      <c r="C331" s="1970" t="s">
        <v>713</v>
      </c>
      <c r="D331" s="1971">
        <f>'Part III-A-Uses of Funds'!$J$16+'Part III-A-Uses of Funds'!$M$16+'Part III-A-Uses of Funds'!$P$16</f>
        <v>0</v>
      </c>
      <c r="E331" s="1965"/>
      <c r="F331" s="1969"/>
      <c r="G331" s="1967"/>
      <c r="H331" s="1969"/>
    </row>
    <row r="332" spans="1:8" ht="13.5">
      <c r="A332" s="1967"/>
      <c r="B332" s="1972"/>
      <c r="C332" s="1967"/>
      <c r="D332" s="1967"/>
      <c r="E332" s="1965"/>
      <c r="F332" s="1969"/>
      <c r="G332" s="1973"/>
      <c r="H332" s="1969"/>
    </row>
    <row r="333" spans="1:8" ht="13.5" customHeight="1">
      <c r="A333" s="1968" t="str">
        <f>'Part III-A-Uses of Funds'!$C$17</f>
        <v>&lt;&lt; Enter description here; provide detail &amp; justification in tab Part III-b &gt;&gt;</v>
      </c>
      <c r="B333" s="1968"/>
      <c r="C333" s="1968"/>
      <c r="D333" s="1968"/>
      <c r="E333" s="1965"/>
      <c r="F333" s="1969">
        <f>'Part III-B-Other Items'!F19</f>
        <v>0</v>
      </c>
      <c r="G333" s="1967"/>
      <c r="H333" s="1969">
        <f>'Part III-B-Other Items'!H19</f>
        <v>0</v>
      </c>
    </row>
    <row r="334" spans="1:8" ht="13.5">
      <c r="A334" s="1968"/>
      <c r="B334" s="1968"/>
      <c r="C334" s="1968"/>
      <c r="D334" s="1968"/>
      <c r="E334" s="1965"/>
      <c r="F334" s="1969"/>
      <c r="G334" s="1967"/>
      <c r="H334" s="1969"/>
    </row>
    <row r="335" spans="1:8" ht="13.5">
      <c r="A335" s="1965"/>
      <c r="B335" s="1965"/>
      <c r="C335" s="1965"/>
      <c r="D335" s="1965"/>
      <c r="E335" s="1965"/>
      <c r="F335" s="1969"/>
      <c r="G335" s="1967"/>
      <c r="H335" s="1969"/>
    </row>
    <row r="336" spans="1:8" ht="13.5">
      <c r="A336" s="1970" t="s">
        <v>753</v>
      </c>
      <c r="B336" s="1971">
        <f>'Part III-A-Uses of Funds'!$G$17</f>
        <v>0</v>
      </c>
      <c r="C336" s="1970" t="s">
        <v>713</v>
      </c>
      <c r="D336" s="1971">
        <f>'Part III-A-Uses of Funds'!$J$17+'Part III-A-Uses of Funds'!$M$17+'Part III-A-Uses of Funds'!$P$17</f>
        <v>0</v>
      </c>
      <c r="E336" s="1965"/>
      <c r="F336" s="1969"/>
      <c r="G336" s="1967"/>
      <c r="H336" s="1969"/>
    </row>
    <row r="337" spans="1:8" ht="13.5">
      <c r="A337" s="1967"/>
      <c r="B337" s="1972"/>
      <c r="C337" s="1967"/>
      <c r="D337" s="1967"/>
      <c r="E337" s="1965"/>
      <c r="F337" s="1969"/>
      <c r="G337" s="1973"/>
      <c r="H337" s="1969"/>
    </row>
    <row r="338" spans="1:8" ht="13.5">
      <c r="A338" s="1966" t="s">
        <v>754</v>
      </c>
      <c r="B338" s="1967"/>
      <c r="C338" s="1967"/>
      <c r="D338" s="1967"/>
      <c r="E338" s="1967"/>
      <c r="F338" s="1967"/>
      <c r="G338" s="1967"/>
      <c r="H338" s="1965"/>
    </row>
    <row r="339" spans="1:8" ht="12.75" customHeight="1">
      <c r="A339" s="1968" t="str">
        <f>'Part III-A-Uses of Funds'!$C$46</f>
        <v>&lt;&lt; Enter description here; provide detail &amp; justification in tab Part III-b &gt;&gt;</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753</v>
      </c>
      <c r="B342" s="1971">
        <f>'Part III-A-Uses of Funds'!$G$46</f>
        <v>0</v>
      </c>
      <c r="C342" s="1970" t="s">
        <v>713</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ht="13.5">
      <c r="A344" s="1966" t="s">
        <v>579</v>
      </c>
      <c r="B344" s="1967"/>
      <c r="C344" s="1967"/>
      <c r="D344" s="1967"/>
      <c r="E344" s="1967"/>
      <c r="F344" s="1967"/>
      <c r="G344" s="1967"/>
      <c r="H344" s="1965"/>
    </row>
    <row r="345" spans="1:8" ht="12.75" customHeight="1">
      <c r="A345" s="1968" t="str">
        <f>'Part III-A-Uses of Funds'!$C$71</f>
        <v>&lt;&lt; Enter description here; provide detail &amp; justification in tab Part III-b &gt;&gt;</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753</v>
      </c>
      <c r="B348" s="1971">
        <f>'Part III-A-Uses of Funds'!$G$71</f>
        <v>0</v>
      </c>
      <c r="C348" s="1970" t="s">
        <v>713</v>
      </c>
      <c r="D348" s="1971">
        <f>'Part III-A-Uses of Funds'!$J$71+'Part III-A-Uses of Funds'!$M$71+'Part III-A-Uses of Funds'!$P$71</f>
        <v>0</v>
      </c>
      <c r="E348" s="1967"/>
      <c r="F348" s="1969"/>
      <c r="G348" s="1967"/>
      <c r="H348" s="1969"/>
    </row>
    <row r="349" spans="1:8" ht="13.5">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753</v>
      </c>
      <c r="B353" s="1971">
        <f>'Part III-A-Uses of Funds'!$G$72</f>
        <v>0</v>
      </c>
      <c r="C353" s="1970" t="s">
        <v>713</v>
      </c>
      <c r="D353" s="1971">
        <f>'Part III-A-Uses of Funds'!$J$72+'Part III-A-Uses of Funds'!$M$72+'Part III-A-Uses of Funds'!$P$72</f>
        <v>0</v>
      </c>
      <c r="E353" s="1967"/>
      <c r="F353" s="1969"/>
      <c r="G353" s="1967"/>
      <c r="H353" s="1969"/>
    </row>
    <row r="354" spans="1:8" ht="13.5">
      <c r="A354" s="1965"/>
      <c r="B354" s="1965"/>
      <c r="C354" s="1965"/>
      <c r="D354" s="1967"/>
      <c r="E354" s="1967"/>
      <c r="F354" s="1969"/>
      <c r="G354" s="1973"/>
      <c r="H354" s="1969"/>
    </row>
    <row r="355" spans="1:8" ht="13.5">
      <c r="A355" s="1966" t="s">
        <v>595</v>
      </c>
      <c r="B355" s="1967"/>
      <c r="C355" s="1967"/>
      <c r="D355" s="1967"/>
      <c r="E355" s="1974"/>
      <c r="F355" s="1974"/>
      <c r="G355" s="1967"/>
      <c r="H355" s="1965"/>
    </row>
    <row r="356" spans="1:8" ht="13.5" customHeight="1">
      <c r="A356" s="1968" t="str">
        <f>'Part III-A-Uses of Funds'!$C$85</f>
        <v>&lt;&lt; Enter description here; provide detail &amp; justification in tab Part III-b &gt;&gt;</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753</v>
      </c>
      <c r="B359" s="1971">
        <f>'Part III-A-Uses of Funds'!$G$85</f>
        <v>0</v>
      </c>
      <c r="C359" s="1970" t="s">
        <v>713</v>
      </c>
      <c r="D359" s="1971">
        <f>'Part III-A-Uses of Funds'!$J$85+'Part III-A-Uses of Funds'!$M$85+'Part III-A-Uses of Funds'!$P$85</f>
        <v>0</v>
      </c>
      <c r="E359" s="1967"/>
      <c r="F359" s="1969"/>
      <c r="G359" s="1967"/>
      <c r="H359" s="1969"/>
    </row>
    <row r="360" spans="1:8">
      <c r="A360" s="1967"/>
      <c r="B360" s="1972"/>
      <c r="C360" s="1967"/>
      <c r="D360" s="1967"/>
      <c r="E360" s="1967"/>
      <c r="F360" s="1969"/>
      <c r="G360" s="1973"/>
      <c r="H360" s="1969"/>
    </row>
    <row r="361" spans="1:8" ht="13.5">
      <c r="A361" s="1966" t="s">
        <v>618</v>
      </c>
      <c r="B361" s="1967"/>
      <c r="C361" s="1967"/>
      <c r="D361" s="1967"/>
      <c r="E361" s="1967"/>
      <c r="F361" s="1967"/>
      <c r="G361" s="1967"/>
      <c r="H361" s="1965"/>
    </row>
    <row r="362" spans="1:8" ht="13.5" customHeight="1">
      <c r="A362" s="1968" t="str">
        <f>'Part III-A-Uses of Funds'!$C$102</f>
        <v>&lt;&lt; Enter description here; provide detail &amp; justification in tab Part III-b &gt;&gt;</v>
      </c>
      <c r="B362" s="1968"/>
      <c r="C362" s="1968"/>
      <c r="D362" s="1968"/>
      <c r="E362" s="1965"/>
      <c r="F362" s="1969">
        <f>'Part III-B-Other Items'!F48</f>
        <v>0</v>
      </c>
      <c r="G362" s="1967"/>
      <c r="H362" s="1965"/>
    </row>
    <row r="363" spans="1:8" ht="13.5">
      <c r="A363" s="1968"/>
      <c r="B363" s="1968"/>
      <c r="C363" s="1968"/>
      <c r="D363" s="1968"/>
      <c r="E363" s="1967"/>
      <c r="F363" s="1969"/>
      <c r="G363" s="1967"/>
      <c r="H363" s="1965"/>
    </row>
    <row r="364" spans="1:8" ht="13.5">
      <c r="A364" s="1967"/>
      <c r="B364" s="1967"/>
      <c r="C364" s="1967"/>
      <c r="D364" s="1967"/>
      <c r="E364" s="1967"/>
      <c r="F364" s="1969"/>
      <c r="G364" s="1967"/>
      <c r="H364" s="1965"/>
    </row>
    <row r="365" spans="1:8" ht="13.5">
      <c r="A365" s="1970" t="s">
        <v>753</v>
      </c>
      <c r="B365" s="1971">
        <f>'Part III-A-Uses of Funds'!$G$102</f>
        <v>0</v>
      </c>
      <c r="C365" s="1975"/>
      <c r="D365" s="1975"/>
      <c r="E365" s="1967"/>
      <c r="F365" s="1969"/>
      <c r="G365" s="1967"/>
      <c r="H365" s="1965"/>
    </row>
    <row r="366" spans="1:8" ht="13.5">
      <c r="A366" s="1967"/>
      <c r="B366" s="1967"/>
      <c r="C366" s="1967"/>
      <c r="D366" s="1967"/>
      <c r="E366" s="1967"/>
      <c r="F366" s="1969"/>
      <c r="G366" s="1973"/>
      <c r="H366" s="1965"/>
    </row>
    <row r="367" spans="1:8" ht="13.5">
      <c r="A367" s="1966" t="s">
        <v>7536</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ht="13.5">
      <c r="A369" s="1968"/>
      <c r="B369" s="1968"/>
      <c r="C369" s="1968"/>
      <c r="D369" s="1968"/>
      <c r="E369" s="1967"/>
      <c r="F369" s="1969"/>
      <c r="G369" s="1967"/>
      <c r="H369" s="1965"/>
    </row>
    <row r="370" spans="1:8" ht="13.5">
      <c r="A370" s="1967"/>
      <c r="B370" s="1967"/>
      <c r="C370" s="1967"/>
      <c r="D370" s="1967"/>
      <c r="E370" s="1967"/>
      <c r="F370" s="1969"/>
      <c r="G370" s="1967"/>
      <c r="H370" s="1965"/>
    </row>
    <row r="371" spans="1:8" ht="13.5">
      <c r="A371" s="1970" t="s">
        <v>753</v>
      </c>
      <c r="B371" s="1971">
        <f>'Part III-A-Uses of Funds'!$G$112</f>
        <v>0</v>
      </c>
      <c r="C371" s="1975"/>
      <c r="D371" s="1975"/>
      <c r="E371" s="1967"/>
      <c r="F371" s="1969"/>
      <c r="G371" s="1967"/>
      <c r="H371" s="1965"/>
    </row>
    <row r="372" spans="1:8" ht="13.5">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ht="13.5">
      <c r="A374" s="1968"/>
      <c r="B374" s="1968"/>
      <c r="C374" s="1968"/>
      <c r="D374" s="1968"/>
      <c r="E374" s="1967"/>
      <c r="F374" s="1969"/>
      <c r="G374" s="1967"/>
      <c r="H374" s="1965"/>
    </row>
    <row r="375" spans="1:8" ht="13.5">
      <c r="A375" s="1967"/>
      <c r="B375" s="1967"/>
      <c r="C375" s="1967"/>
      <c r="D375" s="1967"/>
      <c r="E375" s="1967"/>
      <c r="F375" s="1969"/>
      <c r="G375" s="1967"/>
      <c r="H375" s="1965"/>
    </row>
    <row r="376" spans="1:8" ht="13.5">
      <c r="A376" s="1970" t="s">
        <v>753</v>
      </c>
      <c r="B376" s="1971">
        <f>'Part III-A-Uses of Funds'!$G$113</f>
        <v>0</v>
      </c>
      <c r="C376" s="1975"/>
      <c r="D376" s="1975"/>
      <c r="E376" s="1967"/>
      <c r="F376" s="1969"/>
      <c r="G376" s="1967"/>
      <c r="H376" s="1965"/>
    </row>
    <row r="377" spans="1:8" ht="13.5">
      <c r="A377" s="1964"/>
      <c r="B377" s="1964"/>
      <c r="C377" s="1964"/>
      <c r="D377" s="1964"/>
      <c r="E377" s="1964"/>
      <c r="F377" s="1969"/>
      <c r="G377" s="1973"/>
      <c r="H377" s="1965"/>
    </row>
    <row r="378" spans="1:8" ht="13.5">
      <c r="A378" s="1966" t="s">
        <v>7537</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ht="13.5">
      <c r="A380" s="1968"/>
      <c r="B380" s="1968"/>
      <c r="C380" s="1968"/>
      <c r="D380" s="1968"/>
      <c r="E380" s="1967"/>
      <c r="F380" s="1969"/>
      <c r="G380" s="1967"/>
      <c r="H380" s="1965"/>
    </row>
    <row r="381" spans="1:8" ht="13.5">
      <c r="A381" s="1967"/>
      <c r="B381" s="1967"/>
      <c r="C381" s="1967"/>
      <c r="D381" s="1967"/>
      <c r="E381" s="1967"/>
      <c r="F381" s="1969"/>
      <c r="G381" s="1967"/>
      <c r="H381" s="1965"/>
    </row>
    <row r="382" spans="1:8" ht="13.5">
      <c r="A382" s="1970" t="s">
        <v>753</v>
      </c>
      <c r="B382" s="1971">
        <f>'Part III-A-Uses of Funds'!$G$119</f>
        <v>0</v>
      </c>
      <c r="C382" s="1975"/>
      <c r="D382" s="1975"/>
      <c r="E382" s="1967"/>
      <c r="F382" s="1969"/>
      <c r="G382" s="1967"/>
      <c r="H382" s="1965"/>
    </row>
    <row r="383" spans="1:8" ht="13.5">
      <c r="A383" s="1967"/>
      <c r="B383" s="1972"/>
      <c r="C383" s="1967"/>
      <c r="D383" s="1967"/>
      <c r="E383" s="1967"/>
      <c r="F383" s="1969"/>
      <c r="G383" s="1973"/>
      <c r="H383" s="1965"/>
    </row>
    <row r="384" spans="1:8" ht="13.5">
      <c r="A384" s="1966" t="s">
        <v>680</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753</v>
      </c>
      <c r="B388" s="1971">
        <f>'Part III-A-Uses of Funds'!$G$135</f>
        <v>0</v>
      </c>
      <c r="C388" s="1970" t="s">
        <v>713</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ht="13.5">
      <c r="A390" s="1966" t="s">
        <v>7538</v>
      </c>
      <c r="B390" s="1972"/>
      <c r="C390" s="1967"/>
      <c r="D390" s="1967"/>
      <c r="E390" s="1967"/>
      <c r="F390" s="1967"/>
      <c r="G390" s="1973"/>
      <c r="H390" s="1965"/>
    </row>
    <row r="391" spans="1:13" ht="13.5" customHeight="1">
      <c r="A391" s="1968" t="str">
        <f>'Part III-A-Uses of Funds'!$C$144</f>
        <v>&lt;&lt; Enter description here; provide detail &amp; justification in tab Part III-b &gt;&gt;</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753</v>
      </c>
      <c r="B394" s="1971">
        <f>'Part III-A-Uses of Funds'!$G$144</f>
        <v>0</v>
      </c>
      <c r="C394" s="1970" t="s">
        <v>713</v>
      </c>
      <c r="D394" s="1971">
        <f>'Part III-A-Uses of Funds'!$J$144+'Part III-A-Uses of Funds'!$M$144+'Part III-A-Uses of Funds'!$P$144</f>
        <v>0</v>
      </c>
      <c r="E394" s="1967"/>
      <c r="F394" s="1969"/>
      <c r="G394" s="1967"/>
      <c r="H394" s="1969"/>
    </row>
    <row r="395" spans="1:13" ht="13.5">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Westchester Village II, ,  County</v>
      </c>
      <c r="B400" s="1184"/>
      <c r="C400" s="1184"/>
      <c r="D400" s="1184"/>
      <c r="E400" s="1184"/>
      <c r="F400" s="1184"/>
      <c r="G400" s="1184"/>
      <c r="H400" s="1184"/>
      <c r="I400" s="1184"/>
      <c r="J400" s="1184"/>
      <c r="K400" s="1184"/>
      <c r="L400" s="1184"/>
      <c r="M400" s="1184"/>
    </row>
    <row r="402" spans="1:13">
      <c r="B402" s="1976" t="str">
        <f>'Part I-Project Identification'!$A$6</f>
        <v>May XX, 2026</v>
      </c>
      <c r="C402" s="1976"/>
      <c r="D402" s="1976"/>
      <c r="E402" s="1976"/>
      <c r="F402" s="1184" t="s">
        <v>758</v>
      </c>
      <c r="I402" s="1184" t="str">
        <f>'Part IV-Utility Allowances'!I3</f>
        <v>Local PHA</v>
      </c>
      <c r="J402" s="1184"/>
    </row>
    <row r="404" spans="1:13">
      <c r="A404" s="1977" t="s">
        <v>7539</v>
      </c>
    </row>
    <row r="406" spans="1:13">
      <c r="A406" s="255" t="s">
        <v>21</v>
      </c>
      <c r="B406" s="255" t="s">
        <v>760</v>
      </c>
      <c r="F406" s="253" t="s">
        <v>761</v>
      </c>
      <c r="G406" s="253"/>
      <c r="H406" s="253"/>
      <c r="I406" s="253" t="str">
        <f>'Part IV-Utility Allowances'!I7</f>
        <v>Jonesboro Housing Authority</v>
      </c>
      <c r="J406" s="253"/>
      <c r="K406" s="253"/>
      <c r="L406" s="253"/>
      <c r="M406" s="253"/>
    </row>
    <row r="407" spans="1:13">
      <c r="A407" s="255"/>
      <c r="F407" s="253" t="s">
        <v>762</v>
      </c>
      <c r="G407" s="253"/>
      <c r="H407" s="253"/>
      <c r="I407" s="1978" t="str">
        <f>'Part IV-Utility Allowances'!I8</f>
        <v>4.1.2025</v>
      </c>
      <c r="J407" s="1978"/>
      <c r="K407" s="1296" t="s">
        <v>763</v>
      </c>
      <c r="L407" s="253" t="str">
        <f>'Part IV-Utility Allowances'!L8</f>
        <v>Low-Rise Elevator</v>
      </c>
      <c r="M407" s="253"/>
    </row>
    <row r="408" spans="1:13">
      <c r="A408" s="255"/>
    </row>
    <row r="409" spans="1:13">
      <c r="A409" s="255"/>
      <c r="B409" s="255"/>
      <c r="C409" s="255"/>
      <c r="D409" s="255"/>
      <c r="E409" s="255"/>
      <c r="F409" s="255" t="s">
        <v>764</v>
      </c>
      <c r="G409" s="255"/>
      <c r="H409" s="255"/>
      <c r="I409" s="255" t="s">
        <v>765</v>
      </c>
      <c r="J409" s="255"/>
      <c r="K409" s="255"/>
      <c r="L409" s="255"/>
      <c r="M409" s="255"/>
    </row>
    <row r="410" spans="1:13">
      <c r="A410" s="255"/>
      <c r="B410" s="255" t="s">
        <v>766</v>
      </c>
      <c r="C410" s="255"/>
      <c r="D410" s="255" t="s">
        <v>767</v>
      </c>
      <c r="E410" s="255"/>
      <c r="F410" s="1773" t="s">
        <v>768</v>
      </c>
      <c r="G410" s="1773" t="s">
        <v>769</v>
      </c>
      <c r="H410" s="255"/>
      <c r="I410" s="1773" t="s">
        <v>770</v>
      </c>
      <c r="J410" s="1773">
        <v>1</v>
      </c>
      <c r="K410" s="1773">
        <v>2</v>
      </c>
      <c r="L410" s="1773">
        <v>3</v>
      </c>
      <c r="M410" s="1773">
        <v>4</v>
      </c>
    </row>
    <row r="411" spans="1:13">
      <c r="B411" s="253" t="s">
        <v>771</v>
      </c>
      <c r="C411" s="253"/>
      <c r="D411" s="253" t="str">
        <f>'Part IV-Utility Allowances'!D12</f>
        <v>Electric Heat Pump</v>
      </c>
      <c r="E411" s="253"/>
      <c r="F411" s="1979" t="str">
        <f>'Part IV-Utility Allowances'!F12</f>
        <v>X</v>
      </c>
      <c r="G411" s="1979">
        <f>'Part IV-Utility Allowances'!G12</f>
        <v>0</v>
      </c>
      <c r="I411" s="1296">
        <f>'Part IV-Utility Allowances'!I12</f>
        <v>0</v>
      </c>
      <c r="J411" s="1296">
        <f>'Part IV-Utility Allowances'!J12</f>
        <v>50</v>
      </c>
      <c r="K411" s="1296">
        <f>'Part IV-Utility Allowances'!K12</f>
        <v>58</v>
      </c>
      <c r="L411" s="1296">
        <f>'Part IV-Utility Allowances'!L12</f>
        <v>0</v>
      </c>
      <c r="M411" s="1296">
        <f>'Part IV-Utility Allowances'!M12</f>
        <v>0</v>
      </c>
    </row>
    <row r="412" spans="1:13">
      <c r="B412" s="253" t="s">
        <v>772</v>
      </c>
      <c r="C412" s="253"/>
      <c r="D412" s="253" t="str">
        <f>'Part IV-Utility Allowances'!D13</f>
        <v>Electric</v>
      </c>
      <c r="E412" s="253"/>
      <c r="F412" s="1979" t="str">
        <f>'Part IV-Utility Allowances'!F13</f>
        <v>X</v>
      </c>
      <c r="G412" s="1979">
        <f>'Part IV-Utility Allowances'!G13</f>
        <v>0</v>
      </c>
      <c r="I412" s="1296">
        <f>'Part IV-Utility Allowances'!I13</f>
        <v>0</v>
      </c>
      <c r="J412" s="1296">
        <f>'Part IV-Utility Allowances'!J13</f>
        <v>12</v>
      </c>
      <c r="K412" s="1296">
        <f>'Part IV-Utility Allowances'!K13</f>
        <v>14</v>
      </c>
      <c r="L412" s="1296">
        <f>'Part IV-Utility Allowances'!L13</f>
        <v>0</v>
      </c>
      <c r="M412" s="1296">
        <f>'Part IV-Utility Allowances'!M13</f>
        <v>0</v>
      </c>
    </row>
    <row r="413" spans="1:13">
      <c r="B413" s="253" t="s">
        <v>774</v>
      </c>
      <c r="C413" s="253"/>
      <c r="D413" s="253" t="str">
        <f>'Part IV-Utility Allowances'!D14</f>
        <v>Electric</v>
      </c>
      <c r="E413" s="253"/>
      <c r="F413" s="1979" t="str">
        <f>'Part IV-Utility Allowances'!F14</f>
        <v>X</v>
      </c>
      <c r="G413" s="1979">
        <f>'Part IV-Utility Allowances'!G14</f>
        <v>0</v>
      </c>
      <c r="I413" s="1296">
        <f>'Part IV-Utility Allowances'!I14</f>
        <v>0</v>
      </c>
      <c r="J413" s="1296">
        <f>'Part IV-Utility Allowances'!J14</f>
        <v>19</v>
      </c>
      <c r="K413" s="1296">
        <f>'Part IV-Utility Allowances'!K14</f>
        <v>27</v>
      </c>
      <c r="L413" s="1296">
        <f>'Part IV-Utility Allowances'!L14</f>
        <v>0</v>
      </c>
      <c r="M413" s="1296">
        <f>'Part IV-Utility Allowances'!M14</f>
        <v>0</v>
      </c>
    </row>
    <row r="414" spans="1:13">
      <c r="B414" s="253" t="s">
        <v>775</v>
      </c>
      <c r="C414" s="253"/>
      <c r="D414" s="253" t="s">
        <v>776</v>
      </c>
      <c r="F414" s="1979" t="str">
        <f>'Part IV-Utility Allowances'!F15</f>
        <v>X</v>
      </c>
      <c r="G414" s="1979">
        <f>'Part IV-Utility Allowances'!G15</f>
        <v>0</v>
      </c>
      <c r="I414" s="1296">
        <f>'Part IV-Utility Allowances'!I15</f>
        <v>0</v>
      </c>
      <c r="J414" s="1296">
        <f>'Part IV-Utility Allowances'!J15</f>
        <v>18</v>
      </c>
      <c r="K414" s="1296">
        <f>'Part IV-Utility Allowances'!K15</f>
        <v>21</v>
      </c>
      <c r="L414" s="1296">
        <f>'Part IV-Utility Allowances'!L15</f>
        <v>0</v>
      </c>
      <c r="M414" s="1296">
        <f>'Part IV-Utility Allowances'!M15</f>
        <v>0</v>
      </c>
    </row>
    <row r="415" spans="1:13">
      <c r="B415" s="253" t="s">
        <v>777</v>
      </c>
      <c r="C415" s="253"/>
      <c r="D415" s="253" t="s">
        <v>776</v>
      </c>
      <c r="F415" s="1979">
        <f>'Part IV-Utility Allowances'!F16</f>
        <v>0</v>
      </c>
      <c r="G415" s="1979" t="str">
        <f>'Part IV-Utility Allowances'!G16</f>
        <v>X</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778</v>
      </c>
      <c r="C416" s="253"/>
      <c r="D416" s="253" t="s">
        <v>776</v>
      </c>
      <c r="F416" s="1979">
        <f>'Part IV-Utility Allowances'!F17</f>
        <v>0</v>
      </c>
      <c r="G416" s="1979" t="str">
        <f>'Part IV-Utility Allowances'!G17</f>
        <v>X</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779</v>
      </c>
      <c r="C417" s="253"/>
      <c r="D417" s="253" t="s">
        <v>776</v>
      </c>
      <c r="F417" s="1979" t="str">
        <f>'Part IV-Utility Allowances'!F18</f>
        <v>X</v>
      </c>
      <c r="G417" s="1979">
        <f>'Part IV-Utility Allowances'!G18</f>
        <v>0</v>
      </c>
      <c r="I417" s="1296">
        <f>'Part IV-Utility Allowances'!I18</f>
        <v>0</v>
      </c>
      <c r="J417" s="1296">
        <f>'Part IV-Utility Allowances'!J18</f>
        <v>44</v>
      </c>
      <c r="K417" s="1296">
        <f>'Part IV-Utility Allowances'!K18</f>
        <v>58</v>
      </c>
      <c r="L417" s="1296">
        <f>'Part IV-Utility Allowances'!L18</f>
        <v>0</v>
      </c>
      <c r="M417" s="1296">
        <f>'Part IV-Utility Allowances'!M18</f>
        <v>0</v>
      </c>
    </row>
    <row r="418" spans="1:13">
      <c r="B418" s="253" t="s">
        <v>780</v>
      </c>
      <c r="C418" s="253"/>
      <c r="D418" s="253" t="s">
        <v>7540</v>
      </c>
      <c r="E418" s="1296" t="str">
        <f>'Part IV-Utility Allowances'!E19</f>
        <v>Yes</v>
      </c>
      <c r="F418" s="1979" t="str">
        <f>'Part IV-Utility Allowances'!F19</f>
        <v>X</v>
      </c>
      <c r="G418" s="1979">
        <f>'Part IV-Utility Allowances'!G19</f>
        <v>0</v>
      </c>
      <c r="I418" s="1296">
        <f>'Part IV-Utility Allowances'!I19</f>
        <v>0</v>
      </c>
      <c r="J418" s="1296">
        <f>'Part IV-Utility Allowances'!J19</f>
        <v>45</v>
      </c>
      <c r="K418" s="1296">
        <f>'Part IV-Utility Allowances'!K19</f>
        <v>56</v>
      </c>
      <c r="L418" s="1296">
        <f>'Part IV-Utility Allowances'!L19</f>
        <v>0</v>
      </c>
      <c r="M418" s="1296">
        <f>'Part IV-Utility Allowances'!M19</f>
        <v>0</v>
      </c>
    </row>
    <row r="419" spans="1:13">
      <c r="B419" s="253" t="s">
        <v>782</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783</v>
      </c>
    </row>
    <row r="421" spans="1:13">
      <c r="B421" s="1980" t="s">
        <v>784</v>
      </c>
      <c r="C421" s="253"/>
      <c r="D421" s="253" t="s">
        <v>785</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c r="B422" s="1980" t="s">
        <v>786</v>
      </c>
      <c r="C422" s="253"/>
      <c r="D422" s="253" t="s">
        <v>776</v>
      </c>
      <c r="F422" s="1979" t="str">
        <f>'Part IV-Utility Allowances'!F23</f>
        <v>X</v>
      </c>
      <c r="G422" s="1979">
        <f>'Part IV-Utility Allowances'!G23</f>
        <v>0</v>
      </c>
      <c r="I422" s="1296">
        <f>'Part IV-Utility Allowances'!I23</f>
        <v>0</v>
      </c>
      <c r="J422" s="1296">
        <f>'Part IV-Utility Allowances'!J23</f>
        <v>14</v>
      </c>
      <c r="K422" s="1296">
        <f>'Part IV-Utility Allowances'!K23</f>
        <v>14</v>
      </c>
      <c r="L422" s="1296">
        <f>'Part IV-Utility Allowances'!L23</f>
        <v>0</v>
      </c>
      <c r="M422" s="1296">
        <f>'Part IV-Utility Allowances'!M23</f>
        <v>0</v>
      </c>
    </row>
    <row r="423" spans="1:13">
      <c r="B423" s="253" t="s">
        <v>435</v>
      </c>
      <c r="C423" s="256" t="str">
        <f>'Part IV-Utility Allowances'!C24</f>
        <v>Senior Credit - GA Power</v>
      </c>
      <c r="D423" s="256"/>
      <c r="E423" s="256"/>
      <c r="F423" s="1979" t="str">
        <f>'Part IV-Utility Allowances'!F24</f>
        <v>X</v>
      </c>
      <c r="G423" s="1979">
        <f>'Part IV-Utility Allowances'!G24</f>
        <v>0</v>
      </c>
      <c r="I423" s="1296">
        <f>'Part IV-Utility Allowances'!I24</f>
        <v>0</v>
      </c>
      <c r="J423" s="1296">
        <f>'Part IV-Utility Allowances'!J24</f>
        <v>-24</v>
      </c>
      <c r="K423" s="1296">
        <f>'Part IV-Utility Allowances'!K24</f>
        <v>-24</v>
      </c>
      <c r="L423" s="1296">
        <f>'Part IV-Utility Allowances'!L24</f>
        <v>0</v>
      </c>
      <c r="M423" s="1296">
        <f>'Part IV-Utility Allowances'!M24</f>
        <v>0</v>
      </c>
    </row>
    <row r="424" spans="1:13">
      <c r="B424" s="255" t="s">
        <v>787</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178</v>
      </c>
      <c r="K424" s="1979">
        <f>IF(SUM(K411:K423)=0,0,IF(OR($D411="&lt;&lt;Select Fuel &gt;&gt;",$D412="&lt;&lt;Select Fuel &gt;&gt;",$D413="&lt;&lt;Select Fuel &gt;&gt;"),"Select Fuel",IF($E418="&lt;Select&gt;","Submeter?",SUM(K411:K423))))</f>
        <v>224</v>
      </c>
      <c r="L424" s="1979">
        <f>IF(SUM(L411:L423)=0,0,IF(OR($D411="&lt;&lt;Select Fuel &gt;&gt;",$D412="&lt;&lt;Select Fuel &gt;&gt;",$D413="&lt;&lt;Select Fuel &gt;&gt;"),"Select Fuel",IF($E418="&lt;Select&gt;","Submeter?",SUM(L411:L423))))</f>
        <v>0</v>
      </c>
      <c r="M424" s="1979">
        <f>IF(SUM(M411:M423)=0,0,IF(OR($D411="&lt;&lt;Select Fuel &gt;&gt;",$D412="&lt;&lt;Select Fuel &gt;&gt;",$D413="&lt;&lt;Select Fuel &gt;&gt;"),"Select Fuel",IF($E418="&lt;Select&gt;","Submeter?",SUM(M411:M423))))</f>
        <v>0</v>
      </c>
    </row>
    <row r="426" spans="1:13">
      <c r="A426" s="255" t="s">
        <v>25</v>
      </c>
      <c r="B426" s="255" t="s">
        <v>788</v>
      </c>
      <c r="F426" s="253" t="s">
        <v>761</v>
      </c>
      <c r="G426" s="253"/>
      <c r="H426" s="253"/>
      <c r="I426" s="253">
        <f>'Part IV-Utility Allowances'!I27</f>
        <v>0</v>
      </c>
      <c r="J426" s="253"/>
      <c r="K426" s="253"/>
      <c r="L426" s="253"/>
      <c r="M426" s="253"/>
    </row>
    <row r="427" spans="1:13">
      <c r="A427" s="255"/>
      <c r="B427" s="255"/>
      <c r="F427" s="253" t="s">
        <v>762</v>
      </c>
      <c r="G427" s="253"/>
      <c r="H427" s="253"/>
      <c r="I427" s="1978">
        <f>'Part IV-Utility Allowances'!I28</f>
        <v>0</v>
      </c>
      <c r="J427" s="1978"/>
      <c r="K427" s="1296" t="s">
        <v>763</v>
      </c>
      <c r="L427" s="253">
        <f>'Part IV-Utility Allowances'!L28</f>
        <v>0</v>
      </c>
      <c r="M427" s="253"/>
    </row>
    <row r="428" spans="1:13">
      <c r="A428" s="255"/>
    </row>
    <row r="429" spans="1:13">
      <c r="A429" s="255"/>
      <c r="B429" s="255"/>
      <c r="C429" s="255"/>
      <c r="D429" s="255"/>
      <c r="E429" s="255"/>
      <c r="F429" s="255" t="s">
        <v>764</v>
      </c>
      <c r="G429" s="255"/>
      <c r="H429" s="255"/>
      <c r="I429" s="255" t="s">
        <v>765</v>
      </c>
      <c r="J429" s="255"/>
      <c r="K429" s="255"/>
      <c r="L429" s="255"/>
      <c r="M429" s="255"/>
    </row>
    <row r="430" spans="1:13">
      <c r="A430" s="255"/>
      <c r="B430" s="255" t="s">
        <v>766</v>
      </c>
      <c r="C430" s="255"/>
      <c r="D430" s="255" t="s">
        <v>767</v>
      </c>
      <c r="E430" s="255"/>
      <c r="F430" s="1773" t="s">
        <v>768</v>
      </c>
      <c r="G430" s="1773" t="s">
        <v>769</v>
      </c>
      <c r="H430" s="255"/>
      <c r="I430" s="1773" t="s">
        <v>770</v>
      </c>
      <c r="J430" s="1773">
        <v>1</v>
      </c>
      <c r="K430" s="1773">
        <v>2</v>
      </c>
      <c r="L430" s="1773">
        <v>3</v>
      </c>
      <c r="M430" s="1773">
        <v>4</v>
      </c>
    </row>
    <row r="431" spans="1:13">
      <c r="B431" s="253" t="s">
        <v>771</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c r="B432" s="253" t="s">
        <v>772</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c r="B433" s="253" t="s">
        <v>774</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c r="B434" s="253" t="s">
        <v>775</v>
      </c>
      <c r="C434" s="253"/>
      <c r="D434" s="253" t="s">
        <v>776</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c r="B435" s="253" t="s">
        <v>777</v>
      </c>
      <c r="C435" s="253"/>
      <c r="D435" s="253" t="s">
        <v>776</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778</v>
      </c>
      <c r="C436" s="253"/>
      <c r="D436" s="253" t="s">
        <v>776</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779</v>
      </c>
      <c r="C437" s="253"/>
      <c r="D437" s="253" t="s">
        <v>776</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c r="B438" s="253" t="s">
        <v>780</v>
      </c>
      <c r="C438" s="253"/>
      <c r="D438" s="253" t="s">
        <v>7540</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c r="B439" s="253" t="s">
        <v>782</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783</v>
      </c>
    </row>
    <row r="441" spans="1:13">
      <c r="B441" s="1980" t="s">
        <v>789</v>
      </c>
      <c r="C441" s="253"/>
      <c r="D441" s="253" t="s">
        <v>785</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786</v>
      </c>
      <c r="C442" s="253"/>
      <c r="D442" s="253" t="s">
        <v>776</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c r="B443" s="253" t="s">
        <v>435</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787</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c r="B446" s="590" t="s">
        <v>7541</v>
      </c>
      <c r="F446" s="1185"/>
      <c r="G446" s="1185"/>
      <c r="I446" s="1773"/>
      <c r="J446" s="1773"/>
      <c r="K446" s="1773"/>
      <c r="L446" s="1773"/>
      <c r="M446" s="1773"/>
    </row>
    <row r="447" spans="1:13">
      <c r="A447" s="255"/>
      <c r="B447" s="255" t="s">
        <v>67</v>
      </c>
    </row>
    <row r="448" spans="1:13">
      <c r="B448" s="1869" t="str">
        <f>'Part IV-Utility Allowances'!B49</f>
        <v xml:space="preserve">Applicant has used the Jonesboro Housing Authority UA's. The UA's from April 1, 2025 were in effect on January 1, 2026. </v>
      </c>
      <c r="C448" s="1869"/>
      <c r="D448" s="1869"/>
      <c r="E448" s="1869"/>
      <c r="F448" s="1869"/>
      <c r="G448" s="1869"/>
      <c r="H448" s="1869"/>
      <c r="I448" s="1869"/>
      <c r="J448" s="1869"/>
      <c r="K448" s="1869"/>
      <c r="L448" s="1869"/>
      <c r="M448" s="1869"/>
    </row>
    <row r="450" spans="1:416">
      <c r="A450" s="255"/>
      <c r="B450" s="255" t="s">
        <v>791</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Westchester Village II,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Westchester Village II,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21</v>
      </c>
      <c r="B457" s="1184" t="s">
        <v>808</v>
      </c>
      <c r="D457" s="1831" t="s">
        <v>809</v>
      </c>
      <c r="E457" s="1831"/>
      <c r="F457" s="1831"/>
      <c r="G457" s="1831"/>
      <c r="H457" s="1831"/>
      <c r="I457" s="1831"/>
      <c r="J457" s="1831"/>
      <c r="K457" s="1184"/>
      <c r="L457" s="1184"/>
      <c r="M457" s="1184"/>
      <c r="O457" s="1981" t="s">
        <v>810</v>
      </c>
      <c r="P457" s="1982" t="str">
        <f>'Part I-Project Identification'!$O$30</f>
        <v>Atlanta-Sandy Springs-Marietta</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811</v>
      </c>
      <c r="JO457" s="1771" t="s">
        <v>812</v>
      </c>
      <c r="JP457" s="1771" t="s">
        <v>813</v>
      </c>
      <c r="JQ457" s="1771" t="s">
        <v>814</v>
      </c>
      <c r="JR457" s="1771" t="s">
        <v>815</v>
      </c>
      <c r="JS457" s="1771" t="s">
        <v>811</v>
      </c>
      <c r="JT457" s="1771" t="s">
        <v>812</v>
      </c>
      <c r="JU457" s="1771" t="s">
        <v>813</v>
      </c>
      <c r="JV457" s="1771" t="s">
        <v>814</v>
      </c>
      <c r="JW457" s="1771" t="s">
        <v>815</v>
      </c>
      <c r="JX457" s="1772"/>
      <c r="JY457" s="1772"/>
      <c r="JZ457" s="1772"/>
      <c r="KA457" s="1772"/>
      <c r="KB457" s="1772"/>
      <c r="KC457" s="1772"/>
      <c r="KD457" s="1772"/>
      <c r="KE457" s="1772"/>
      <c r="KF457" s="1772"/>
      <c r="KG457" s="1772"/>
      <c r="KH457" s="1771" t="s">
        <v>811</v>
      </c>
      <c r="KI457" s="1771" t="s">
        <v>812</v>
      </c>
      <c r="KJ457" s="1771" t="s">
        <v>813</v>
      </c>
      <c r="KK457" s="1771" t="s">
        <v>814</v>
      </c>
      <c r="KL457" s="1771" t="s">
        <v>815</v>
      </c>
      <c r="KM457" s="1771" t="s">
        <v>811</v>
      </c>
      <c r="KN457" s="1771" t="s">
        <v>812</v>
      </c>
      <c r="KO457" s="1771" t="s">
        <v>813</v>
      </c>
      <c r="KP457" s="1771" t="s">
        <v>814</v>
      </c>
      <c r="KQ457" s="1771" t="s">
        <v>815</v>
      </c>
      <c r="KR457" s="1771" t="s">
        <v>811</v>
      </c>
      <c r="KS457" s="1771" t="s">
        <v>812</v>
      </c>
      <c r="KT457" s="1771" t="s">
        <v>813</v>
      </c>
      <c r="KU457" s="1771" t="s">
        <v>814</v>
      </c>
      <c r="KV457" s="1771" t="s">
        <v>815</v>
      </c>
      <c r="KW457" s="1771" t="s">
        <v>811</v>
      </c>
      <c r="KX457" s="1771" t="s">
        <v>812</v>
      </c>
      <c r="KY457" s="1771" t="s">
        <v>813</v>
      </c>
      <c r="KZ457" s="1771" t="s">
        <v>814</v>
      </c>
      <c r="LA457" s="1771" t="s">
        <v>815</v>
      </c>
      <c r="LB457" s="1771" t="s">
        <v>811</v>
      </c>
      <c r="LC457" s="1771" t="s">
        <v>812</v>
      </c>
      <c r="LD457" s="1771" t="s">
        <v>813</v>
      </c>
      <c r="LE457" s="1771" t="s">
        <v>814</v>
      </c>
      <c r="LF457" s="1771" t="s">
        <v>815</v>
      </c>
      <c r="LG457" s="1771" t="s">
        <v>811</v>
      </c>
      <c r="LH457" s="1771" t="s">
        <v>812</v>
      </c>
      <c r="LI457" s="1771" t="s">
        <v>813</v>
      </c>
      <c r="LJ457" s="1771" t="s">
        <v>814</v>
      </c>
      <c r="LK457" s="1771" t="s">
        <v>815</v>
      </c>
      <c r="LL457" s="1771" t="s">
        <v>811</v>
      </c>
      <c r="LM457" s="1771" t="s">
        <v>812</v>
      </c>
      <c r="LN457" s="1771" t="s">
        <v>813</v>
      </c>
      <c r="LO457" s="1771" t="s">
        <v>814</v>
      </c>
      <c r="LP457" s="1771" t="s">
        <v>815</v>
      </c>
      <c r="LQ457" s="1771" t="s">
        <v>811</v>
      </c>
      <c r="LR457" s="1771" t="s">
        <v>812</v>
      </c>
      <c r="LS457" s="1771" t="s">
        <v>813</v>
      </c>
      <c r="LT457" s="1771" t="s">
        <v>814</v>
      </c>
      <c r="LU457" s="1771" t="s">
        <v>815</v>
      </c>
      <c r="LV457" s="1771" t="s">
        <v>811</v>
      </c>
      <c r="LW457" s="1771" t="s">
        <v>812</v>
      </c>
      <c r="LX457" s="1771" t="s">
        <v>813</v>
      </c>
      <c r="LY457" s="1771" t="s">
        <v>814</v>
      </c>
      <c r="LZ457" s="1771" t="s">
        <v>815</v>
      </c>
      <c r="MA457" s="1771" t="s">
        <v>811</v>
      </c>
      <c r="MB457" s="1771" t="s">
        <v>812</v>
      </c>
      <c r="MC457" s="1771" t="s">
        <v>813</v>
      </c>
      <c r="MD457" s="1771" t="s">
        <v>814</v>
      </c>
      <c r="ME457" s="1771" t="s">
        <v>815</v>
      </c>
      <c r="MF457" s="1771" t="s">
        <v>811</v>
      </c>
      <c r="MG457" s="1771" t="s">
        <v>812</v>
      </c>
      <c r="MH457" s="1771" t="s">
        <v>813</v>
      </c>
      <c r="MI457" s="1771" t="s">
        <v>814</v>
      </c>
      <c r="MJ457" s="1771" t="s">
        <v>815</v>
      </c>
      <c r="MK457" s="1771" t="s">
        <v>811</v>
      </c>
      <c r="ML457" s="1771" t="s">
        <v>812</v>
      </c>
      <c r="MM457" s="1771" t="s">
        <v>813</v>
      </c>
      <c r="MN457" s="1771" t="s">
        <v>814</v>
      </c>
      <c r="MO457" s="1771" t="s">
        <v>815</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816</v>
      </c>
      <c r="NP457" s="254" t="s">
        <v>817</v>
      </c>
      <c r="NQ457" s="254" t="s">
        <v>818</v>
      </c>
      <c r="NR457" s="254" t="s">
        <v>819</v>
      </c>
      <c r="NS457" s="254" t="s">
        <v>820</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7542</v>
      </c>
      <c r="R458" s="1984"/>
      <c r="X458" s="254" t="s">
        <v>822</v>
      </c>
      <c r="Y458" s="254" t="s">
        <v>823</v>
      </c>
      <c r="Z458" s="254" t="s">
        <v>824</v>
      </c>
      <c r="AA458" s="254" t="s">
        <v>825</v>
      </c>
      <c r="AB458" s="254" t="s">
        <v>826</v>
      </c>
      <c r="AC458" s="254" t="s">
        <v>827</v>
      </c>
      <c r="AD458" s="254" t="s">
        <v>828</v>
      </c>
      <c r="AE458" s="254" t="s">
        <v>829</v>
      </c>
      <c r="AF458" s="254" t="s">
        <v>830</v>
      </c>
      <c r="AG458" s="254" t="s">
        <v>831</v>
      </c>
      <c r="AH458" s="254" t="s">
        <v>832</v>
      </c>
      <c r="AI458" s="254" t="s">
        <v>833</v>
      </c>
      <c r="AJ458" s="254" t="s">
        <v>834</v>
      </c>
      <c r="AK458" s="254" t="s">
        <v>835</v>
      </c>
      <c r="AL458" s="254" t="s">
        <v>836</v>
      </c>
      <c r="AM458" s="254" t="s">
        <v>837</v>
      </c>
      <c r="AN458" s="254" t="s">
        <v>838</v>
      </c>
      <c r="AO458" s="254" t="s">
        <v>839</v>
      </c>
      <c r="AP458" s="254" t="s">
        <v>840</v>
      </c>
      <c r="AQ458" s="254" t="s">
        <v>841</v>
      </c>
      <c r="AR458" s="254" t="s">
        <v>842</v>
      </c>
      <c r="AS458" s="254" t="s">
        <v>843</v>
      </c>
      <c r="AT458" s="254" t="s">
        <v>844</v>
      </c>
      <c r="AU458" s="254" t="s">
        <v>845</v>
      </c>
      <c r="AV458" s="254" t="s">
        <v>846</v>
      </c>
      <c r="AW458" s="254" t="s">
        <v>847</v>
      </c>
      <c r="AX458" s="254" t="s">
        <v>848</v>
      </c>
      <c r="AY458" s="254" t="s">
        <v>849</v>
      </c>
      <c r="AZ458" s="254" t="s">
        <v>850</v>
      </c>
      <c r="BA458" s="254" t="s">
        <v>851</v>
      </c>
      <c r="BB458" s="254" t="s">
        <v>852</v>
      </c>
      <c r="BC458" s="254" t="s">
        <v>853</v>
      </c>
      <c r="BD458" s="254" t="s">
        <v>854</v>
      </c>
      <c r="BE458" s="254" t="s">
        <v>855</v>
      </c>
      <c r="BF458" s="254" t="s">
        <v>856</v>
      </c>
      <c r="BG458" s="254" t="s">
        <v>857</v>
      </c>
      <c r="BH458" s="254" t="s">
        <v>858</v>
      </c>
      <c r="BI458" s="254" t="s">
        <v>859</v>
      </c>
      <c r="BJ458" s="254" t="s">
        <v>860</v>
      </c>
      <c r="BK458" s="254" t="s">
        <v>861</v>
      </c>
      <c r="BL458" s="254" t="s">
        <v>862</v>
      </c>
      <c r="BM458" s="254" t="s">
        <v>863</v>
      </c>
      <c r="BN458" s="254" t="s">
        <v>864</v>
      </c>
      <c r="BO458" s="254" t="s">
        <v>865</v>
      </c>
      <c r="BP458" s="254" t="s">
        <v>866</v>
      </c>
      <c r="BQ458" s="254" t="s">
        <v>867</v>
      </c>
      <c r="BR458" s="254" t="s">
        <v>868</v>
      </c>
      <c r="BS458" s="254" t="s">
        <v>869</v>
      </c>
      <c r="BT458" s="254" t="s">
        <v>870</v>
      </c>
      <c r="BU458" s="254" t="s">
        <v>871</v>
      </c>
      <c r="BV458" s="254" t="s">
        <v>872</v>
      </c>
      <c r="BW458" s="254" t="s">
        <v>873</v>
      </c>
      <c r="BX458" s="254" t="s">
        <v>874</v>
      </c>
      <c r="BY458" s="254" t="s">
        <v>875</v>
      </c>
      <c r="BZ458" s="254" t="s">
        <v>876</v>
      </c>
      <c r="CA458" s="254" t="s">
        <v>877</v>
      </c>
      <c r="CB458" s="254" t="s">
        <v>878</v>
      </c>
      <c r="CC458" s="254" t="s">
        <v>879</v>
      </c>
      <c r="CD458" s="254" t="s">
        <v>880</v>
      </c>
      <c r="CE458" s="254" t="s">
        <v>881</v>
      </c>
      <c r="CF458" s="254" t="s">
        <v>882</v>
      </c>
      <c r="CG458" s="254" t="s">
        <v>883</v>
      </c>
      <c r="CH458" s="254" t="s">
        <v>884</v>
      </c>
      <c r="CI458" s="254" t="s">
        <v>885</v>
      </c>
      <c r="CJ458" s="254" t="s">
        <v>886</v>
      </c>
      <c r="CK458" s="254" t="s">
        <v>887</v>
      </c>
      <c r="CL458" s="254" t="s">
        <v>888</v>
      </c>
      <c r="CM458" s="254" t="s">
        <v>889</v>
      </c>
      <c r="CN458" s="254" t="s">
        <v>890</v>
      </c>
      <c r="CO458" s="254" t="s">
        <v>891</v>
      </c>
      <c r="CP458" s="254" t="s">
        <v>892</v>
      </c>
      <c r="CQ458" s="254" t="s">
        <v>893</v>
      </c>
      <c r="CR458" s="254" t="s">
        <v>894</v>
      </c>
      <c r="CS458" s="254" t="s">
        <v>895</v>
      </c>
      <c r="CT458" s="254" t="s">
        <v>896</v>
      </c>
      <c r="CU458" s="254" t="s">
        <v>897</v>
      </c>
      <c r="CV458" s="254" t="s">
        <v>898</v>
      </c>
      <c r="CW458" s="254" t="s">
        <v>899</v>
      </c>
      <c r="CX458" s="254" t="s">
        <v>900</v>
      </c>
      <c r="CY458" s="254" t="s">
        <v>901</v>
      </c>
      <c r="CZ458" s="254" t="s">
        <v>902</v>
      </c>
      <c r="DA458" s="254" t="s">
        <v>903</v>
      </c>
      <c r="DB458" s="254" t="s">
        <v>904</v>
      </c>
      <c r="DC458" s="254" t="s">
        <v>905</v>
      </c>
      <c r="DD458" s="254" t="s">
        <v>906</v>
      </c>
      <c r="DE458" s="254" t="s">
        <v>907</v>
      </c>
      <c r="DF458" s="254" t="s">
        <v>908</v>
      </c>
      <c r="DG458" s="254" t="s">
        <v>909</v>
      </c>
      <c r="DH458" s="254" t="s">
        <v>910</v>
      </c>
      <c r="DI458" s="254" t="s">
        <v>911</v>
      </c>
      <c r="DJ458" s="254" t="s">
        <v>912</v>
      </c>
      <c r="DK458" s="254" t="s">
        <v>913</v>
      </c>
      <c r="DL458" s="254" t="s">
        <v>914</v>
      </c>
      <c r="DM458" s="254" t="s">
        <v>915</v>
      </c>
      <c r="DN458" s="254" t="s">
        <v>916</v>
      </c>
      <c r="DO458" s="254" t="s">
        <v>917</v>
      </c>
      <c r="DP458" s="254" t="s">
        <v>918</v>
      </c>
      <c r="DQ458" s="254" t="s">
        <v>919</v>
      </c>
      <c r="DR458" s="254" t="s">
        <v>920</v>
      </c>
      <c r="DS458" s="254" t="s">
        <v>921</v>
      </c>
      <c r="DT458" s="254" t="s">
        <v>922</v>
      </c>
      <c r="DU458" s="254" t="s">
        <v>923</v>
      </c>
      <c r="DV458" s="254" t="s">
        <v>924</v>
      </c>
      <c r="DW458" s="254" t="s">
        <v>925</v>
      </c>
      <c r="DX458" s="254" t="s">
        <v>926</v>
      </c>
      <c r="DY458" s="254" t="s">
        <v>927</v>
      </c>
      <c r="DZ458" s="254" t="s">
        <v>928</v>
      </c>
      <c r="EA458" s="254" t="s">
        <v>929</v>
      </c>
      <c r="EB458" s="254" t="s">
        <v>930</v>
      </c>
      <c r="EC458" s="254" t="s">
        <v>931</v>
      </c>
      <c r="ED458" s="254" t="s">
        <v>932</v>
      </c>
      <c r="EE458" s="254" t="s">
        <v>933</v>
      </c>
      <c r="EF458" s="254" t="s">
        <v>934</v>
      </c>
      <c r="EG458" s="254" t="s">
        <v>935</v>
      </c>
      <c r="EH458" s="254" t="s">
        <v>936</v>
      </c>
      <c r="EI458" s="254" t="s">
        <v>937</v>
      </c>
      <c r="EJ458" s="254" t="s">
        <v>938</v>
      </c>
      <c r="EK458" s="254" t="s">
        <v>939</v>
      </c>
      <c r="EL458" s="254" t="s">
        <v>940</v>
      </c>
      <c r="EM458" s="254" t="s">
        <v>941</v>
      </c>
      <c r="EN458" s="254" t="s">
        <v>942</v>
      </c>
      <c r="EO458" s="254" t="s">
        <v>943</v>
      </c>
      <c r="EP458" s="254" t="s">
        <v>944</v>
      </c>
      <c r="EQ458" s="254" t="s">
        <v>945</v>
      </c>
      <c r="ER458" s="254" t="s">
        <v>946</v>
      </c>
      <c r="ES458" s="254" t="s">
        <v>947</v>
      </c>
      <c r="ET458" s="254" t="s">
        <v>948</v>
      </c>
      <c r="EU458" s="254" t="s">
        <v>949</v>
      </c>
      <c r="EV458" s="254" t="s">
        <v>950</v>
      </c>
      <c r="EW458" s="254" t="s">
        <v>951</v>
      </c>
      <c r="EX458" s="254" t="s">
        <v>952</v>
      </c>
      <c r="EY458" s="254" t="s">
        <v>953</v>
      </c>
      <c r="EZ458" s="254" t="s">
        <v>954</v>
      </c>
      <c r="FA458" s="254" t="s">
        <v>955</v>
      </c>
      <c r="FB458" s="254" t="s">
        <v>956</v>
      </c>
      <c r="FC458" s="254" t="s">
        <v>957</v>
      </c>
      <c r="FD458" s="254" t="s">
        <v>958</v>
      </c>
      <c r="FE458" s="254" t="s">
        <v>959</v>
      </c>
      <c r="FF458" s="254" t="s">
        <v>960</v>
      </c>
      <c r="FG458" s="254" t="s">
        <v>961</v>
      </c>
      <c r="FH458" s="254" t="s">
        <v>962</v>
      </c>
      <c r="FI458" s="254" t="s">
        <v>963</v>
      </c>
      <c r="FJ458" s="254" t="s">
        <v>964</v>
      </c>
      <c r="FK458" s="254" t="s">
        <v>965</v>
      </c>
      <c r="FL458" s="254" t="s">
        <v>966</v>
      </c>
      <c r="FM458" s="254" t="s">
        <v>967</v>
      </c>
      <c r="FN458" s="254" t="s">
        <v>968</v>
      </c>
      <c r="FO458" s="254" t="s">
        <v>969</v>
      </c>
      <c r="FP458" s="254" t="s">
        <v>970</v>
      </c>
      <c r="FQ458" s="254" t="s">
        <v>971</v>
      </c>
      <c r="FR458" s="254" t="s">
        <v>972</v>
      </c>
      <c r="FS458" s="254" t="s">
        <v>973</v>
      </c>
      <c r="FT458" s="254" t="s">
        <v>974</v>
      </c>
      <c r="FU458" s="254" t="s">
        <v>975</v>
      </c>
      <c r="FV458" s="254" t="s">
        <v>976</v>
      </c>
      <c r="FW458" s="254" t="s">
        <v>977</v>
      </c>
      <c r="FX458" s="254" t="s">
        <v>978</v>
      </c>
      <c r="FY458" s="254" t="s">
        <v>979</v>
      </c>
      <c r="FZ458" s="254" t="s">
        <v>980</v>
      </c>
      <c r="GA458" s="254" t="s">
        <v>981</v>
      </c>
      <c r="GB458" s="254" t="s">
        <v>982</v>
      </c>
      <c r="GC458" s="254" t="s">
        <v>983</v>
      </c>
      <c r="GD458" s="254" t="s">
        <v>984</v>
      </c>
      <c r="GE458" s="254" t="s">
        <v>985</v>
      </c>
      <c r="GF458" s="254" t="s">
        <v>986</v>
      </c>
      <c r="GG458" s="254" t="s">
        <v>987</v>
      </c>
      <c r="GH458" s="254" t="s">
        <v>988</v>
      </c>
      <c r="GI458" s="254" t="s">
        <v>989</v>
      </c>
      <c r="GJ458" s="254" t="s">
        <v>990</v>
      </c>
      <c r="GK458" s="254" t="s">
        <v>991</v>
      </c>
      <c r="GL458" s="254" t="s">
        <v>992</v>
      </c>
      <c r="GM458" s="254" t="s">
        <v>993</v>
      </c>
      <c r="GN458" s="254" t="s">
        <v>994</v>
      </c>
      <c r="GO458" s="254" t="s">
        <v>995</v>
      </c>
      <c r="GP458" s="254" t="s">
        <v>996</v>
      </c>
      <c r="GQ458" s="254" t="s">
        <v>997</v>
      </c>
      <c r="GR458" s="254" t="s">
        <v>998</v>
      </c>
      <c r="GS458" s="254" t="s">
        <v>999</v>
      </c>
      <c r="GT458" s="254" t="s">
        <v>1000</v>
      </c>
      <c r="GU458" s="254" t="s">
        <v>1001</v>
      </c>
      <c r="GV458" s="254" t="s">
        <v>1002</v>
      </c>
      <c r="GW458" s="254" t="s">
        <v>1003</v>
      </c>
      <c r="GX458" s="254" t="s">
        <v>1004</v>
      </c>
      <c r="GY458" s="254" t="s">
        <v>1005</v>
      </c>
      <c r="GZ458" s="254" t="s">
        <v>1006</v>
      </c>
      <c r="HA458" s="254" t="s">
        <v>1007</v>
      </c>
      <c r="HB458" s="254" t="s">
        <v>1008</v>
      </c>
      <c r="HC458" s="254" t="s">
        <v>1009</v>
      </c>
      <c r="HD458" s="254" t="s">
        <v>1010</v>
      </c>
      <c r="HE458" s="254" t="s">
        <v>1011</v>
      </c>
      <c r="HF458" s="254" t="s">
        <v>1012</v>
      </c>
      <c r="HG458" s="254" t="s">
        <v>1013</v>
      </c>
      <c r="HH458" s="254" t="s">
        <v>1014</v>
      </c>
      <c r="HI458" s="254" t="s">
        <v>1015</v>
      </c>
      <c r="HJ458" s="254" t="s">
        <v>1016</v>
      </c>
      <c r="HK458" s="254" t="s">
        <v>1017</v>
      </c>
      <c r="HL458" s="254" t="s">
        <v>1018</v>
      </c>
      <c r="HM458" s="254" t="s">
        <v>1019</v>
      </c>
      <c r="HN458" s="254" t="s">
        <v>1020</v>
      </c>
      <c r="HO458" s="254" t="s">
        <v>1021</v>
      </c>
      <c r="HP458" s="254" t="s">
        <v>1022</v>
      </c>
      <c r="HQ458" s="254" t="s">
        <v>1023</v>
      </c>
      <c r="HR458" s="254" t="s">
        <v>1024</v>
      </c>
      <c r="HS458" s="254" t="s">
        <v>1025</v>
      </c>
      <c r="HT458" s="254" t="s">
        <v>1026</v>
      </c>
      <c r="HU458" s="254" t="s">
        <v>1027</v>
      </c>
      <c r="HV458" s="254" t="s">
        <v>1028</v>
      </c>
      <c r="HW458" s="254" t="s">
        <v>1029</v>
      </c>
      <c r="HX458" s="254" t="s">
        <v>1030</v>
      </c>
      <c r="HY458" s="254" t="s">
        <v>1031</v>
      </c>
      <c r="HZ458" s="254" t="s">
        <v>1032</v>
      </c>
      <c r="IA458" s="254" t="s">
        <v>1033</v>
      </c>
      <c r="IB458" s="254" t="s">
        <v>1034</v>
      </c>
      <c r="IC458" s="254" t="s">
        <v>1035</v>
      </c>
      <c r="ID458" s="254" t="s">
        <v>1036</v>
      </c>
      <c r="IE458" s="254" t="s">
        <v>1037</v>
      </c>
      <c r="IF458" s="254" t="s">
        <v>1038</v>
      </c>
      <c r="IG458" s="254" t="s">
        <v>1039</v>
      </c>
      <c r="IH458" s="254" t="s">
        <v>1040</v>
      </c>
      <c r="II458" s="254" t="s">
        <v>1041</v>
      </c>
      <c r="IJ458" s="254" t="s">
        <v>1042</v>
      </c>
      <c r="IK458" s="254" t="s">
        <v>1043</v>
      </c>
      <c r="IL458" s="254" t="s">
        <v>1044</v>
      </c>
      <c r="IM458" s="254" t="s">
        <v>1045</v>
      </c>
      <c r="IN458" s="254" t="s">
        <v>1046</v>
      </c>
      <c r="IO458" s="254" t="s">
        <v>1047</v>
      </c>
      <c r="IP458" s="254" t="s">
        <v>1048</v>
      </c>
      <c r="IQ458" s="254" t="s">
        <v>1049</v>
      </c>
      <c r="IR458" s="254" t="s">
        <v>1050</v>
      </c>
      <c r="IS458" s="254" t="s">
        <v>1051</v>
      </c>
      <c r="IT458" s="254" t="s">
        <v>1052</v>
      </c>
      <c r="IU458" s="254" t="s">
        <v>1053</v>
      </c>
      <c r="IV458" s="254" t="s">
        <v>1054</v>
      </c>
      <c r="IW458" s="254" t="s">
        <v>1055</v>
      </c>
      <c r="IX458" s="254" t="s">
        <v>1056</v>
      </c>
      <c r="IY458" s="254" t="s">
        <v>1057</v>
      </c>
      <c r="IZ458" s="254" t="s">
        <v>1058</v>
      </c>
      <c r="JA458" s="254" t="s">
        <v>1059</v>
      </c>
      <c r="JB458" s="254" t="s">
        <v>1060</v>
      </c>
      <c r="JC458" s="254" t="s">
        <v>1061</v>
      </c>
      <c r="JD458" s="254" t="s">
        <v>1062</v>
      </c>
      <c r="JE458" s="254" t="s">
        <v>1063</v>
      </c>
      <c r="JF458" s="254" t="s">
        <v>1064</v>
      </c>
      <c r="JG458" s="254" t="s">
        <v>1065</v>
      </c>
      <c r="JH458" s="254" t="s">
        <v>1066</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1067</v>
      </c>
      <c r="MQ458" s="254" t="s">
        <v>1068</v>
      </c>
      <c r="MR458" s="254" t="s">
        <v>1069</v>
      </c>
      <c r="MS458" s="254" t="s">
        <v>1070</v>
      </c>
      <c r="MT458" s="254" t="s">
        <v>1071</v>
      </c>
      <c r="MU458" s="254" t="s">
        <v>1072</v>
      </c>
      <c r="MV458" s="254" t="s">
        <v>1073</v>
      </c>
      <c r="MW458" s="254" t="s">
        <v>1074</v>
      </c>
      <c r="MX458" s="254" t="s">
        <v>1075</v>
      </c>
      <c r="MY458" s="254" t="s">
        <v>1076</v>
      </c>
      <c r="MZ458" s="254" t="s">
        <v>1077</v>
      </c>
      <c r="NA458" s="254" t="s">
        <v>1078</v>
      </c>
      <c r="NB458" s="254" t="s">
        <v>1079</v>
      </c>
      <c r="NC458" s="254" t="s">
        <v>1080</v>
      </c>
      <c r="ND458" s="254" t="s">
        <v>1081</v>
      </c>
      <c r="NE458" s="254" t="s">
        <v>1082</v>
      </c>
      <c r="NF458" s="254" t="s">
        <v>1083</v>
      </c>
      <c r="NG458" s="254" t="s">
        <v>1084</v>
      </c>
      <c r="NH458" s="254" t="s">
        <v>1085</v>
      </c>
      <c r="NI458" s="254" t="s">
        <v>1086</v>
      </c>
      <c r="NJ458" s="254" t="s">
        <v>1087</v>
      </c>
      <c r="NK458" s="254" t="s">
        <v>1088</v>
      </c>
      <c r="NL458" s="254" t="s">
        <v>1089</v>
      </c>
      <c r="NM458" s="254" t="s">
        <v>1090</v>
      </c>
      <c r="NN458" s="254" t="s">
        <v>1091</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7543</v>
      </c>
      <c r="D459" s="1831"/>
      <c r="E459" s="1831"/>
      <c r="F459" s="1831"/>
      <c r="G459" s="1296" t="str">
        <f>'Part V-Revenues &amp; Expenses'!G6</f>
        <v>&lt;Select&gt;</v>
      </c>
      <c r="H459" s="1986" t="s">
        <v>1094</v>
      </c>
      <c r="I459" s="1986"/>
      <c r="J459" s="1986"/>
      <c r="K459" s="1987" t="s">
        <v>801</v>
      </c>
      <c r="L459" s="1988" t="str">
        <f>'Part I-Project Identification'!$A$6</f>
        <v>May XX, 2026</v>
      </c>
      <c r="M459" s="1988"/>
      <c r="N459" s="1988"/>
      <c r="O459" s="1989" t="s">
        <v>7544</v>
      </c>
      <c r="P459" s="1990">
        <f>'Part V-Revenues &amp; Expenses'!P6</f>
        <v>79900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1096</v>
      </c>
      <c r="NU459" s="1004" t="s">
        <v>1097</v>
      </c>
      <c r="NV459" s="1004" t="s">
        <v>1098</v>
      </c>
      <c r="NW459" s="1004" t="s">
        <v>1099</v>
      </c>
      <c r="NX459" s="1004" t="s">
        <v>1100</v>
      </c>
      <c r="NY459" s="254" t="s">
        <v>1101</v>
      </c>
      <c r="NZ459" s="254" t="s">
        <v>1102</v>
      </c>
      <c r="OA459" s="254" t="s">
        <v>1103</v>
      </c>
      <c r="OB459" s="254" t="s">
        <v>1104</v>
      </c>
      <c r="OC459" s="254" t="s">
        <v>1105</v>
      </c>
      <c r="OZ459" s="1296">
        <v>6</v>
      </c>
    </row>
    <row r="460" spans="1:416" s="253" customFormat="1" ht="12.6" customHeight="1">
      <c r="A460" s="1985"/>
      <c r="B460" s="1991" t="s">
        <v>1106</v>
      </c>
      <c r="E460" s="1184"/>
      <c r="G460" s="1296" t="str">
        <f>'Part V-Revenues &amp; Expenses'!G7</f>
        <v>&lt;Select&gt;</v>
      </c>
      <c r="I460" s="1097" t="s">
        <v>1107</v>
      </c>
      <c r="J460" s="1987" t="s">
        <v>766</v>
      </c>
      <c r="K460" s="1987" t="s">
        <v>1108</v>
      </c>
      <c r="L460" s="1988"/>
      <c r="M460" s="1988"/>
      <c r="N460" s="1988"/>
      <c r="O460" s="1992" t="s">
        <v>1109</v>
      </c>
      <c r="P460" s="1993" t="str">
        <f>'Part V-Revenues &amp; Expenses'!P7</f>
        <v>1.1.2026</v>
      </c>
      <c r="Q460" s="1983"/>
      <c r="R460" s="1184" t="s">
        <v>1110</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1111</v>
      </c>
      <c r="I461" s="1097"/>
      <c r="J461" s="1987" t="s">
        <v>1112</v>
      </c>
      <c r="K461" s="1987" t="s">
        <v>1113</v>
      </c>
      <c r="N461" s="1994" t="s">
        <v>1114</v>
      </c>
      <c r="O461" s="1820" t="str">
        <f>'Part V-Revenues &amp; Expenses'!O8</f>
        <v>Novogradac</v>
      </c>
      <c r="P461" s="1820"/>
      <c r="Q461" s="1983"/>
      <c r="R461" s="1184"/>
      <c r="S461" s="1979" t="s">
        <v>1115</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770</v>
      </c>
      <c r="KI461" s="1771" t="s">
        <v>812</v>
      </c>
      <c r="KJ461" s="1771" t="s">
        <v>813</v>
      </c>
      <c r="KK461" s="1771" t="s">
        <v>814</v>
      </c>
      <c r="KL461" s="1771" t="s">
        <v>815</v>
      </c>
      <c r="KM461" s="1771" t="s">
        <v>770</v>
      </c>
      <c r="KN461" s="1771" t="s">
        <v>812</v>
      </c>
      <c r="KO461" s="1771" t="s">
        <v>813</v>
      </c>
      <c r="KP461" s="1771" t="s">
        <v>814</v>
      </c>
      <c r="KQ461" s="1771" t="s">
        <v>815</v>
      </c>
      <c r="KR461" s="1771" t="s">
        <v>770</v>
      </c>
      <c r="KS461" s="1771" t="s">
        <v>812</v>
      </c>
      <c r="KT461" s="1771" t="s">
        <v>813</v>
      </c>
      <c r="KU461" s="1771" t="s">
        <v>814</v>
      </c>
      <c r="KV461" s="1771" t="s">
        <v>815</v>
      </c>
      <c r="KW461" s="1771" t="s">
        <v>770</v>
      </c>
      <c r="KX461" s="1771" t="s">
        <v>812</v>
      </c>
      <c r="KY461" s="1771" t="s">
        <v>813</v>
      </c>
      <c r="KZ461" s="1771" t="s">
        <v>814</v>
      </c>
      <c r="LA461" s="1771" t="s">
        <v>815</v>
      </c>
      <c r="LB461" s="1771" t="s">
        <v>770</v>
      </c>
      <c r="LC461" s="1771" t="s">
        <v>812</v>
      </c>
      <c r="LD461" s="1771" t="s">
        <v>813</v>
      </c>
      <c r="LE461" s="1771" t="s">
        <v>814</v>
      </c>
      <c r="LF461" s="1771" t="s">
        <v>815</v>
      </c>
      <c r="LG461" s="1771" t="s">
        <v>770</v>
      </c>
      <c r="LH461" s="1771" t="s">
        <v>812</v>
      </c>
      <c r="LI461" s="1771" t="s">
        <v>813</v>
      </c>
      <c r="LJ461" s="1771" t="s">
        <v>814</v>
      </c>
      <c r="LK461" s="1771" t="s">
        <v>815</v>
      </c>
      <c r="LL461" s="1771" t="s">
        <v>770</v>
      </c>
      <c r="LM461" s="1771" t="s">
        <v>812</v>
      </c>
      <c r="LN461" s="1771" t="s">
        <v>813</v>
      </c>
      <c r="LO461" s="1771" t="s">
        <v>814</v>
      </c>
      <c r="LP461" s="1771" t="s">
        <v>815</v>
      </c>
      <c r="LQ461" s="1771" t="s">
        <v>770</v>
      </c>
      <c r="LR461" s="1771" t="s">
        <v>812</v>
      </c>
      <c r="LS461" s="1771" t="s">
        <v>813</v>
      </c>
      <c r="LT461" s="1771" t="s">
        <v>814</v>
      </c>
      <c r="LU461" s="1771" t="s">
        <v>815</v>
      </c>
      <c r="LV461" s="1771" t="s">
        <v>770</v>
      </c>
      <c r="LW461" s="1771" t="s">
        <v>812</v>
      </c>
      <c r="LX461" s="1771" t="s">
        <v>813</v>
      </c>
      <c r="LY461" s="1771" t="s">
        <v>814</v>
      </c>
      <c r="LZ461" s="1771" t="s">
        <v>815</v>
      </c>
      <c r="MA461" s="1771" t="s">
        <v>770</v>
      </c>
      <c r="MB461" s="1771" t="s">
        <v>812</v>
      </c>
      <c r="MC461" s="1771" t="s">
        <v>813</v>
      </c>
      <c r="MD461" s="1771" t="s">
        <v>814</v>
      </c>
      <c r="ME461" s="1771" t="s">
        <v>815</v>
      </c>
      <c r="MF461" s="1771" t="s">
        <v>770</v>
      </c>
      <c r="MG461" s="1771" t="s">
        <v>812</v>
      </c>
      <c r="MH461" s="1771" t="s">
        <v>813</v>
      </c>
      <c r="MI461" s="1771" t="s">
        <v>814</v>
      </c>
      <c r="MJ461" s="1771" t="s">
        <v>815</v>
      </c>
      <c r="MK461" s="1771" t="s">
        <v>770</v>
      </c>
      <c r="ML461" s="1771" t="s">
        <v>812</v>
      </c>
      <c r="MM461" s="1771" t="s">
        <v>813</v>
      </c>
      <c r="MN461" s="1771" t="s">
        <v>814</v>
      </c>
      <c r="MO461" s="1771" t="s">
        <v>815</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1116</v>
      </c>
      <c r="C462" s="1987" t="s">
        <v>1117</v>
      </c>
      <c r="D462" s="1987" t="s">
        <v>1118</v>
      </c>
      <c r="E462" s="1987" t="s">
        <v>1119</v>
      </c>
      <c r="F462" s="1987" t="s">
        <v>1119</v>
      </c>
      <c r="G462" s="1097" t="s">
        <v>1120</v>
      </c>
      <c r="H462" s="1984" t="s">
        <v>1121</v>
      </c>
      <c r="I462" s="1097"/>
      <c r="J462" s="1995" t="s">
        <v>1122</v>
      </c>
      <c r="K462" s="1987" t="s">
        <v>7545</v>
      </c>
      <c r="L462" s="1097" t="s">
        <v>1124</v>
      </c>
      <c r="M462" s="1097"/>
      <c r="N462" s="1987" t="s">
        <v>1125</v>
      </c>
      <c r="O462" s="1987" t="s">
        <v>1126</v>
      </c>
      <c r="P462" s="1983" t="s">
        <v>7546</v>
      </c>
      <c r="Q462" s="1983"/>
      <c r="R462" s="1987" t="s">
        <v>1128</v>
      </c>
      <c r="S462" s="1987" t="s">
        <v>1129</v>
      </c>
      <c r="T462" s="1987"/>
      <c r="JI462" s="254" t="s">
        <v>1130</v>
      </c>
      <c r="JJ462" s="1771" t="s">
        <v>812</v>
      </c>
      <c r="JK462" s="1771" t="s">
        <v>813</v>
      </c>
      <c r="JL462" s="1771" t="s">
        <v>814</v>
      </c>
      <c r="JM462" s="1771" t="s">
        <v>815</v>
      </c>
      <c r="JN462" s="254" t="s">
        <v>1131</v>
      </c>
      <c r="JO462" s="254" t="s">
        <v>1131</v>
      </c>
      <c r="JP462" s="254" t="s">
        <v>1131</v>
      </c>
      <c r="JQ462" s="254" t="s">
        <v>1131</v>
      </c>
      <c r="JR462" s="254" t="s">
        <v>1131</v>
      </c>
      <c r="JS462" s="254" t="s">
        <v>1132</v>
      </c>
      <c r="JT462" s="254" t="s">
        <v>1132</v>
      </c>
      <c r="JU462" s="254" t="s">
        <v>1132</v>
      </c>
      <c r="JV462" s="254" t="s">
        <v>1132</v>
      </c>
      <c r="JW462" s="254" t="s">
        <v>1132</v>
      </c>
      <c r="JX462" s="1771" t="s">
        <v>770</v>
      </c>
      <c r="JY462" s="1771" t="s">
        <v>812</v>
      </c>
      <c r="JZ462" s="1771" t="s">
        <v>813</v>
      </c>
      <c r="KA462" s="1771" t="s">
        <v>814</v>
      </c>
      <c r="KB462" s="1771" t="s">
        <v>815</v>
      </c>
      <c r="KC462" s="1771" t="s">
        <v>770</v>
      </c>
      <c r="KD462" s="1771" t="s">
        <v>812</v>
      </c>
      <c r="KE462" s="1771" t="s">
        <v>813</v>
      </c>
      <c r="KF462" s="1771" t="s">
        <v>814</v>
      </c>
      <c r="KG462" s="1771" t="s">
        <v>815</v>
      </c>
      <c r="KH462" s="254" t="s">
        <v>1133</v>
      </c>
      <c r="KI462" s="254" t="s">
        <v>1133</v>
      </c>
      <c r="KJ462" s="254" t="s">
        <v>1133</v>
      </c>
      <c r="KK462" s="254" t="s">
        <v>1133</v>
      </c>
      <c r="KL462" s="254" t="s">
        <v>1133</v>
      </c>
      <c r="KM462" s="254" t="s">
        <v>1134</v>
      </c>
      <c r="KN462" s="254" t="s">
        <v>1134</v>
      </c>
      <c r="KO462" s="254" t="s">
        <v>1134</v>
      </c>
      <c r="KP462" s="254" t="s">
        <v>1134</v>
      </c>
      <c r="KQ462" s="254" t="s">
        <v>1134</v>
      </c>
      <c r="KR462" s="254" t="s">
        <v>1135</v>
      </c>
      <c r="KS462" s="254" t="s">
        <v>1135</v>
      </c>
      <c r="KT462" s="254" t="s">
        <v>1135</v>
      </c>
      <c r="KU462" s="254" t="s">
        <v>1135</v>
      </c>
      <c r="KV462" s="254" t="s">
        <v>1135</v>
      </c>
      <c r="KW462" s="254" t="s">
        <v>1136</v>
      </c>
      <c r="KX462" s="254" t="s">
        <v>1136</v>
      </c>
      <c r="KY462" s="254" t="s">
        <v>1136</v>
      </c>
      <c r="KZ462" s="254" t="s">
        <v>1136</v>
      </c>
      <c r="LA462" s="254" t="s">
        <v>1136</v>
      </c>
      <c r="LB462" s="254" t="s">
        <v>1137</v>
      </c>
      <c r="LC462" s="254" t="s">
        <v>1137</v>
      </c>
      <c r="LD462" s="254" t="s">
        <v>1137</v>
      </c>
      <c r="LE462" s="254" t="s">
        <v>1137</v>
      </c>
      <c r="LF462" s="254" t="s">
        <v>1137</v>
      </c>
      <c r="LG462" s="254" t="s">
        <v>1138</v>
      </c>
      <c r="LH462" s="254" t="s">
        <v>1138</v>
      </c>
      <c r="LI462" s="254" t="s">
        <v>1138</v>
      </c>
      <c r="LJ462" s="254" t="s">
        <v>1138</v>
      </c>
      <c r="LK462" s="254" t="s">
        <v>1138</v>
      </c>
      <c r="LL462" s="254" t="s">
        <v>1139</v>
      </c>
      <c r="LM462" s="254" t="s">
        <v>1139</v>
      </c>
      <c r="LN462" s="254" t="s">
        <v>1139</v>
      </c>
      <c r="LO462" s="254" t="s">
        <v>1139</v>
      </c>
      <c r="LP462" s="254" t="s">
        <v>1139</v>
      </c>
      <c r="LQ462" s="254" t="s">
        <v>1140</v>
      </c>
      <c r="LR462" s="254" t="s">
        <v>1140</v>
      </c>
      <c r="LS462" s="254" t="s">
        <v>1140</v>
      </c>
      <c r="LT462" s="254" t="s">
        <v>1140</v>
      </c>
      <c r="LU462" s="254" t="s">
        <v>1140</v>
      </c>
      <c r="LV462" s="254" t="s">
        <v>1141</v>
      </c>
      <c r="LW462" s="254" t="s">
        <v>1141</v>
      </c>
      <c r="LX462" s="254" t="s">
        <v>1141</v>
      </c>
      <c r="LY462" s="254" t="s">
        <v>1141</v>
      </c>
      <c r="LZ462" s="254" t="s">
        <v>1141</v>
      </c>
      <c r="MA462" s="254" t="s">
        <v>1142</v>
      </c>
      <c r="MB462" s="254" t="s">
        <v>1142</v>
      </c>
      <c r="MC462" s="254" t="s">
        <v>1142</v>
      </c>
      <c r="MD462" s="254" t="s">
        <v>1142</v>
      </c>
      <c r="ME462" s="254" t="s">
        <v>1142</v>
      </c>
      <c r="MF462" s="254" t="s">
        <v>1143</v>
      </c>
      <c r="MG462" s="254" t="s">
        <v>1143</v>
      </c>
      <c r="MH462" s="254" t="s">
        <v>1143</v>
      </c>
      <c r="MI462" s="254" t="s">
        <v>1143</v>
      </c>
      <c r="MJ462" s="254" t="s">
        <v>1143</v>
      </c>
      <c r="MK462" s="254" t="s">
        <v>1144</v>
      </c>
      <c r="ML462" s="254" t="s">
        <v>1144</v>
      </c>
      <c r="MM462" s="254" t="s">
        <v>1144</v>
      </c>
      <c r="MN462" s="254" t="s">
        <v>1144</v>
      </c>
      <c r="MO462" s="254" t="s">
        <v>1144</v>
      </c>
      <c r="NT462" s="1004"/>
      <c r="NU462" s="1004"/>
      <c r="NV462" s="1004"/>
      <c r="NW462" s="1004"/>
      <c r="NX462" s="1004"/>
      <c r="OZ462" s="1771">
        <v>9</v>
      </c>
    </row>
    <row r="463" spans="1:416" s="254" customFormat="1" ht="11.25" customHeight="1">
      <c r="A463" s="1985"/>
      <c r="B463" s="1996" t="s">
        <v>1145</v>
      </c>
      <c r="C463" s="1987" t="s">
        <v>793</v>
      </c>
      <c r="D463" s="1987" t="s">
        <v>794</v>
      </c>
      <c r="E463" s="1987" t="s">
        <v>1146</v>
      </c>
      <c r="F463" s="1987" t="s">
        <v>1147</v>
      </c>
      <c r="G463" s="1097"/>
      <c r="H463" s="1987" t="s">
        <v>1148</v>
      </c>
      <c r="I463" s="1097"/>
      <c r="J463" s="1995"/>
      <c r="K463" s="1997" t="s">
        <v>1149</v>
      </c>
      <c r="L463" s="1987" t="s">
        <v>679</v>
      </c>
      <c r="M463" s="1987" t="s">
        <v>287</v>
      </c>
      <c r="N463" s="1987" t="s">
        <v>1119</v>
      </c>
      <c r="O463" s="1987" t="s">
        <v>1150</v>
      </c>
      <c r="P463" s="1983"/>
      <c r="Q463" s="1983"/>
      <c r="R463" s="1987" t="s">
        <v>1151</v>
      </c>
      <c r="S463" s="1987" t="s">
        <v>1152</v>
      </c>
      <c r="T463" s="255" t="s">
        <v>791</v>
      </c>
      <c r="W463" s="255"/>
      <c r="JJ463" s="1771" t="s">
        <v>1153</v>
      </c>
      <c r="JK463" s="1771" t="s">
        <v>1153</v>
      </c>
      <c r="JL463" s="1771" t="s">
        <v>1153</v>
      </c>
      <c r="JM463" s="1771" t="s">
        <v>1153</v>
      </c>
      <c r="JX463" s="1771" t="s">
        <v>1154</v>
      </c>
      <c r="JY463" s="1771" t="s">
        <v>1154</v>
      </c>
      <c r="JZ463" s="1771" t="s">
        <v>1154</v>
      </c>
      <c r="KA463" s="1771" t="s">
        <v>1154</v>
      </c>
      <c r="KB463" s="1771" t="s">
        <v>1154</v>
      </c>
      <c r="KC463" s="1771" t="s">
        <v>1155</v>
      </c>
      <c r="KD463" s="1771" t="s">
        <v>1155</v>
      </c>
      <c r="KE463" s="1771" t="s">
        <v>1155</v>
      </c>
      <c r="KF463" s="1771" t="s">
        <v>1155</v>
      </c>
      <c r="KG463" s="1771" t="s">
        <v>1155</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1157</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1158</v>
      </c>
      <c r="OZ465" s="1296">
        <v>12</v>
      </c>
    </row>
    <row r="466" spans="1:416" ht="12" customHeight="1">
      <c r="A466" s="1979" t="str">
        <f t="shared" si="0"/>
        <v/>
      </c>
      <c r="B466" s="1998" t="str">
        <f>'Part V-Revenues &amp; Expenses'!B13</f>
        <v>Unrestricted</v>
      </c>
      <c r="C466" s="1999">
        <f>'Part V-Revenues &amp; Expenses'!C13</f>
        <v>0</v>
      </c>
      <c r="D466" s="2000">
        <f>'Part V-Revenues &amp; Expenses'!D13</f>
        <v>0</v>
      </c>
      <c r="E466" s="2001">
        <f>'Part V-Revenues &amp; Expenses'!E13</f>
        <v>0</v>
      </c>
      <c r="F466" s="2001">
        <f>'Part V-Revenues &amp; Expenses'!F13</f>
        <v>0</v>
      </c>
      <c r="G466" s="2001">
        <f>'Part V-Revenues &amp; Expenses'!G13</f>
        <v>0</v>
      </c>
      <c r="H466" s="2001">
        <f>'Part V-Revenues &amp; Expenses'!H13</f>
        <v>0</v>
      </c>
      <c r="I466" s="2001">
        <f>'Part V-Revenues &amp; Expenses'!I13</f>
        <v>0</v>
      </c>
      <c r="J466" s="2001">
        <f>'Part V-Revenues &amp; Expenses'!J13</f>
        <v>0</v>
      </c>
      <c r="K466" s="2002">
        <f>'Part V-Revenues &amp; Expenses'!K13</f>
        <v>0</v>
      </c>
      <c r="L466" s="2003">
        <f t="shared" si="1"/>
        <v>0</v>
      </c>
      <c r="M466" s="2003">
        <f t="shared" si="2"/>
        <v>0</v>
      </c>
      <c r="N466" s="1853">
        <f>'Part V-Revenues &amp; Expenses'!N13</f>
        <v>0</v>
      </c>
      <c r="O466" s="899">
        <f>'Part V-Revenues &amp; Expenses'!O13</f>
        <v>0</v>
      </c>
      <c r="P466" s="1853">
        <f>'Part V-Revenues &amp; Expenses'!P13</f>
        <v>0</v>
      </c>
      <c r="Q466" s="1772">
        <f>'Part V-Revenues &amp; Expenses'!Q13</f>
        <v>0</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1160</v>
      </c>
      <c r="OZ466" s="1296">
        <v>13</v>
      </c>
    </row>
    <row r="467" spans="1:416" ht="12" customHeight="1">
      <c r="A467" s="1979" t="str">
        <f t="shared" si="0"/>
        <v/>
      </c>
      <c r="B467" s="1998" t="str">
        <f>'Part V-Revenues &amp; Expenses'!B14</f>
        <v>Unrestricted</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1161</v>
      </c>
      <c r="OZ467" s="1185">
        <v>14</v>
      </c>
    </row>
    <row r="468" spans="1:416" ht="12" customHeight="1">
      <c r="A468" s="1979" t="str">
        <f t="shared" si="0"/>
        <v/>
      </c>
      <c r="B468" s="1998" t="str">
        <f>'Part V-Revenues &amp; Expenses'!B15</f>
        <v>Unrestricted</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1162</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1163</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1164</v>
      </c>
      <c r="OZ470" s="1296">
        <v>17</v>
      </c>
    </row>
    <row r="471" spans="1:416" ht="12" customHeight="1">
      <c r="A471" s="1979" t="str">
        <f t="shared" si="0"/>
        <v/>
      </c>
      <c r="B471" s="1998">
        <f>'Part V-Revenues &amp; Expenses'!B18</f>
        <v>50</v>
      </c>
      <c r="C471" s="1999">
        <f>'Part V-Revenues &amp; Expenses'!C18</f>
        <v>1</v>
      </c>
      <c r="D471" s="2000">
        <f>'Part V-Revenues &amp; Expenses'!D18</f>
        <v>1</v>
      </c>
      <c r="E471" s="2001">
        <f>'Part V-Revenues &amp; Expenses'!E18</f>
        <v>7</v>
      </c>
      <c r="F471" s="2001">
        <f>'Part V-Revenues &amp; Expenses'!F18</f>
        <v>700</v>
      </c>
      <c r="G471" s="2001">
        <f>'Part V-Revenues &amp; Expenses'!G18</f>
        <v>1071</v>
      </c>
      <c r="H471" s="2001">
        <f>'Part V-Revenues &amp; Expenses'!H18</f>
        <v>1071</v>
      </c>
      <c r="I471" s="2001">
        <f>'Part V-Revenues &amp; Expenses'!I18</f>
        <v>0</v>
      </c>
      <c r="J471" s="2001">
        <f>'Part V-Revenues &amp; Expenses'!J18</f>
        <v>178</v>
      </c>
      <c r="K471" s="2002">
        <f>'Part V-Revenues &amp; Expenses'!K18</f>
        <v>0</v>
      </c>
      <c r="L471" s="2003">
        <f t="shared" si="1"/>
        <v>893</v>
      </c>
      <c r="M471" s="2003">
        <f t="shared" si="2"/>
        <v>6251</v>
      </c>
      <c r="N471" s="1853" t="str">
        <f>'Part V-Revenues &amp; Expenses'!N18</f>
        <v>No</v>
      </c>
      <c r="O471" s="899" t="str">
        <f>'Part V-Revenues &amp; Expenses'!O18</f>
        <v>Low-Rise Elevator</v>
      </c>
      <c r="P471" s="1853" t="str">
        <f>'Part V-Revenues &amp; Expenses'!P18</f>
        <v>New Construction</v>
      </c>
      <c r="Q471" s="1772" t="str">
        <f>'Part V-Revenues &amp; Expenses'!Q18</f>
        <v>No</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t="str">
        <f t="shared" si="14"/>
        <v/>
      </c>
      <c r="AJ471" s="251" t="str">
        <f t="shared" si="15"/>
        <v/>
      </c>
      <c r="AK471" s="251" t="str">
        <f t="shared" si="16"/>
        <v/>
      </c>
      <c r="AL471" s="251" t="str">
        <f t="shared" si="17"/>
        <v/>
      </c>
      <c r="AM471" s="251" t="str">
        <f t="shared" si="18"/>
        <v/>
      </c>
      <c r="AN471" s="251">
        <f t="shared" si="19"/>
        <v>7</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t="str">
        <f t="shared" si="164"/>
        <v/>
      </c>
      <c r="GD471" s="251" t="str">
        <f t="shared" si="165"/>
        <v/>
      </c>
      <c r="GE471" s="251" t="str">
        <f t="shared" si="166"/>
        <v/>
      </c>
      <c r="GF471" s="251" t="str">
        <f t="shared" si="167"/>
        <v/>
      </c>
      <c r="GG471" s="251" t="str">
        <f t="shared" si="168"/>
        <v/>
      </c>
      <c r="GH471" s="251">
        <f t="shared" si="169"/>
        <v>4900</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f t="shared" si="204"/>
        <v>7</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t="str">
        <f t="shared" si="219"/>
        <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f t="shared" si="249"/>
        <v>7</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t="str">
        <f t="shared" si="294"/>
        <v/>
      </c>
      <c r="LD471" s="1297" t="str">
        <f t="shared" si="295"/>
        <v/>
      </c>
      <c r="LE471" s="1297" t="str">
        <f t="shared" si="296"/>
        <v/>
      </c>
      <c r="LF471" s="1297" t="str">
        <f t="shared" si="297"/>
        <v/>
      </c>
      <c r="LG471" s="1297" t="str">
        <f t="shared" si="298"/>
        <v/>
      </c>
      <c r="LH471" s="1297">
        <f t="shared" si="299"/>
        <v>7</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7</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1165</v>
      </c>
      <c r="OZ471" s="1296">
        <v>18</v>
      </c>
    </row>
    <row r="472" spans="1:416" ht="12" customHeight="1">
      <c r="A472" s="1979" t="str">
        <f t="shared" si="0"/>
        <v/>
      </c>
      <c r="B472" s="1998">
        <f>'Part V-Revenues &amp; Expenses'!B19</f>
        <v>50</v>
      </c>
      <c r="C472" s="1999">
        <f>'Part V-Revenues &amp; Expenses'!C19</f>
        <v>2</v>
      </c>
      <c r="D472" s="2000">
        <f>'Part V-Revenues &amp; Expenses'!D19</f>
        <v>1</v>
      </c>
      <c r="E472" s="2001">
        <f>'Part V-Revenues &amp; Expenses'!E19</f>
        <v>11</v>
      </c>
      <c r="F472" s="2001">
        <f>'Part V-Revenues &amp; Expenses'!F19</f>
        <v>956</v>
      </c>
      <c r="G472" s="2001">
        <f>'Part V-Revenues &amp; Expenses'!G19</f>
        <v>1285</v>
      </c>
      <c r="H472" s="2001">
        <f>'Part V-Revenues &amp; Expenses'!H19</f>
        <v>1285</v>
      </c>
      <c r="I472" s="2001">
        <f>'Part V-Revenues &amp; Expenses'!I19</f>
        <v>0</v>
      </c>
      <c r="J472" s="2001">
        <f>'Part V-Revenues &amp; Expenses'!J19</f>
        <v>224</v>
      </c>
      <c r="K472" s="2002">
        <f>'Part V-Revenues &amp; Expenses'!K19</f>
        <v>0</v>
      </c>
      <c r="L472" s="2003">
        <f t="shared" si="1"/>
        <v>1061</v>
      </c>
      <c r="M472" s="2003">
        <f t="shared" si="2"/>
        <v>11671</v>
      </c>
      <c r="N472" s="1853" t="str">
        <f>'Part V-Revenues &amp; Expenses'!N19</f>
        <v>No</v>
      </c>
      <c r="O472" s="899" t="str">
        <f>'Part V-Revenues &amp; Expenses'!O19</f>
        <v>Low-Rise Elevator</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t="str">
        <f t="shared" si="15"/>
        <v/>
      </c>
      <c r="AK472" s="251" t="str">
        <f t="shared" si="16"/>
        <v/>
      </c>
      <c r="AL472" s="251" t="str">
        <f t="shared" si="17"/>
        <v/>
      </c>
      <c r="AM472" s="251" t="str">
        <f t="shared" si="18"/>
        <v/>
      </c>
      <c r="AN472" s="251" t="str">
        <f t="shared" si="19"/>
        <v/>
      </c>
      <c r="AO472" s="251">
        <f t="shared" si="20"/>
        <v>11</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t="str">
        <f t="shared" si="165"/>
        <v/>
      </c>
      <c r="GE472" s="251" t="str">
        <f t="shared" si="166"/>
        <v/>
      </c>
      <c r="GF472" s="251" t="str">
        <f t="shared" si="167"/>
        <v/>
      </c>
      <c r="GG472" s="251" t="str">
        <f t="shared" si="168"/>
        <v/>
      </c>
      <c r="GH472" s="251" t="str">
        <f t="shared" si="169"/>
        <v/>
      </c>
      <c r="GI472" s="251">
        <f t="shared" si="170"/>
        <v>10516</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t="str">
        <f t="shared" si="195"/>
        <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f t="shared" si="205"/>
        <v>11</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11</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t="str">
        <f t="shared" si="295"/>
        <v/>
      </c>
      <c r="LE472" s="1297" t="str">
        <f t="shared" si="296"/>
        <v/>
      </c>
      <c r="LF472" s="1297" t="str">
        <f t="shared" si="297"/>
        <v/>
      </c>
      <c r="LG472" s="1297" t="str">
        <f t="shared" si="298"/>
        <v/>
      </c>
      <c r="LH472" s="1297" t="str">
        <f t="shared" si="299"/>
        <v/>
      </c>
      <c r="LI472" s="1297">
        <f t="shared" si="300"/>
        <v>11</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0</v>
      </c>
      <c r="NV472" s="1185">
        <f t="shared" si="370"/>
        <v>11</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1166</v>
      </c>
      <c r="OZ472" s="1296">
        <v>19</v>
      </c>
    </row>
    <row r="473" spans="1:416" ht="12" customHeight="1">
      <c r="A473" s="1979" t="str">
        <f t="shared" si="0"/>
        <v/>
      </c>
      <c r="B473" s="1998">
        <f>'Part V-Revenues &amp; Expenses'!B20</f>
        <v>60</v>
      </c>
      <c r="C473" s="1999">
        <f>'Part V-Revenues &amp; Expenses'!C20</f>
        <v>1</v>
      </c>
      <c r="D473" s="2000">
        <f>'Part V-Revenues &amp; Expenses'!D20</f>
        <v>1</v>
      </c>
      <c r="E473" s="2001">
        <f>'Part V-Revenues &amp; Expenses'!E20</f>
        <v>15</v>
      </c>
      <c r="F473" s="2001">
        <f>'Part V-Revenues &amp; Expenses'!F20</f>
        <v>700</v>
      </c>
      <c r="G473" s="2001">
        <f>'Part V-Revenues &amp; Expenses'!G20</f>
        <v>1285</v>
      </c>
      <c r="H473" s="2001">
        <f>'Part V-Revenues &amp; Expenses'!H20</f>
        <v>1278</v>
      </c>
      <c r="I473" s="2001">
        <f>'Part V-Revenues &amp; Expenses'!I20</f>
        <v>0</v>
      </c>
      <c r="J473" s="2001">
        <f>'Part V-Revenues &amp; Expenses'!J20</f>
        <v>178</v>
      </c>
      <c r="K473" s="2002">
        <f>'Part V-Revenues &amp; Expenses'!K20</f>
        <v>0</v>
      </c>
      <c r="L473" s="2003">
        <f t="shared" si="1"/>
        <v>1100</v>
      </c>
      <c r="M473" s="2003">
        <f t="shared" si="2"/>
        <v>16500</v>
      </c>
      <c r="N473" s="1853" t="str">
        <f>'Part V-Revenues &amp; Expenses'!N20</f>
        <v>No</v>
      </c>
      <c r="O473" s="899" t="str">
        <f>'Part V-Revenues &amp; Expenses'!O20</f>
        <v>Low-Rise Elevator</v>
      </c>
      <c r="P473" s="1853" t="str">
        <f>'Part V-Revenues &amp; Expenses'!P20</f>
        <v>New Construction</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f t="shared" si="14"/>
        <v>15</v>
      </c>
      <c r="AJ473" s="251" t="str">
        <f t="shared" si="15"/>
        <v/>
      </c>
      <c r="AK473" s="251" t="str">
        <f t="shared" si="16"/>
        <v/>
      </c>
      <c r="AL473" s="251" t="str">
        <f t="shared" si="17"/>
        <v/>
      </c>
      <c r="AM473" s="251" t="str">
        <f t="shared" si="18"/>
        <v/>
      </c>
      <c r="AN473" s="251" t="str">
        <f t="shared" si="19"/>
        <v/>
      </c>
      <c r="AO473" s="251" t="str">
        <f t="shared" si="20"/>
        <v/>
      </c>
      <c r="AP473" s="251" t="str">
        <f t="shared" si="21"/>
        <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f t="shared" si="164"/>
        <v>10500</v>
      </c>
      <c r="GD473" s="251" t="str">
        <f t="shared" si="165"/>
        <v/>
      </c>
      <c r="GE473" s="251" t="str">
        <f t="shared" si="166"/>
        <v/>
      </c>
      <c r="GF473" s="251" t="str">
        <f t="shared" si="167"/>
        <v/>
      </c>
      <c r="GG473" s="251" t="str">
        <f t="shared" si="168"/>
        <v/>
      </c>
      <c r="GH473" s="251" t="str">
        <f t="shared" si="169"/>
        <v/>
      </c>
      <c r="GI473" s="251" t="str">
        <f t="shared" si="170"/>
        <v/>
      </c>
      <c r="GJ473" s="251" t="str">
        <f t="shared" si="171"/>
        <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f t="shared" si="204"/>
        <v>15</v>
      </c>
      <c r="HR473" s="251" t="str">
        <f t="shared" si="205"/>
        <v/>
      </c>
      <c r="HS473" s="251" t="str">
        <f t="shared" si="206"/>
        <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f t="shared" si="249"/>
        <v>15</v>
      </c>
      <c r="JK473" s="1297" t="str">
        <f t="shared" si="250"/>
        <v/>
      </c>
      <c r="JL473" s="1297" t="str">
        <f t="shared" si="251"/>
        <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t="str">
        <f t="shared" si="295"/>
        <v/>
      </c>
      <c r="LE473" s="1297" t="str">
        <f t="shared" si="296"/>
        <v/>
      </c>
      <c r="LF473" s="1297" t="str">
        <f t="shared" si="297"/>
        <v/>
      </c>
      <c r="LG473" s="1297" t="str">
        <f t="shared" si="298"/>
        <v/>
      </c>
      <c r="LH473" s="1297">
        <f t="shared" si="299"/>
        <v>15</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15</v>
      </c>
      <c r="NV473" s="1185">
        <f t="shared" si="370"/>
        <v>0</v>
      </c>
      <c r="NW473" s="1185">
        <f t="shared" si="371"/>
        <v>0</v>
      </c>
      <c r="NX473" s="1185">
        <f t="shared" si="372"/>
        <v>0</v>
      </c>
      <c r="NY473" s="1185">
        <f t="shared" si="363"/>
        <v>0</v>
      </c>
      <c r="NZ473" s="1185">
        <f t="shared" si="364"/>
        <v>0</v>
      </c>
      <c r="OA473" s="1185">
        <f t="shared" si="365"/>
        <v>0</v>
      </c>
      <c r="OB473" s="1185">
        <f t="shared" si="366"/>
        <v>0</v>
      </c>
      <c r="OC473" s="1185">
        <f t="shared" si="367"/>
        <v>0</v>
      </c>
      <c r="OY473" s="251" t="s">
        <v>1167</v>
      </c>
      <c r="OZ473" s="1771">
        <v>20</v>
      </c>
    </row>
    <row r="474" spans="1:416" ht="12" customHeight="1">
      <c r="A474" s="1979" t="str">
        <f t="shared" si="0"/>
        <v/>
      </c>
      <c r="B474" s="1998">
        <f>'Part V-Revenues &amp; Expenses'!B21</f>
        <v>60</v>
      </c>
      <c r="C474" s="1999">
        <f>'Part V-Revenues &amp; Expenses'!C21</f>
        <v>2</v>
      </c>
      <c r="D474" s="2000">
        <f>'Part V-Revenues &amp; Expenses'!D21</f>
        <v>1</v>
      </c>
      <c r="E474" s="2001">
        <f>'Part V-Revenues &amp; Expenses'!E21</f>
        <v>21</v>
      </c>
      <c r="F474" s="2001">
        <f>'Part V-Revenues &amp; Expenses'!F21</f>
        <v>956</v>
      </c>
      <c r="G474" s="2001">
        <f>'Part V-Revenues &amp; Expenses'!G21</f>
        <v>1542</v>
      </c>
      <c r="H474" s="2001">
        <f>'Part V-Revenues &amp; Expenses'!H21</f>
        <v>1424</v>
      </c>
      <c r="I474" s="2001">
        <f>'Part V-Revenues &amp; Expenses'!I21</f>
        <v>0</v>
      </c>
      <c r="J474" s="2001">
        <f>'Part V-Revenues &amp; Expenses'!J21</f>
        <v>224</v>
      </c>
      <c r="K474" s="2002">
        <f>'Part V-Revenues &amp; Expenses'!K21</f>
        <v>0</v>
      </c>
      <c r="L474" s="2003">
        <f t="shared" si="1"/>
        <v>1200</v>
      </c>
      <c r="M474" s="2003">
        <f t="shared" si="2"/>
        <v>25200</v>
      </c>
      <c r="N474" s="1853" t="str">
        <f>'Part V-Revenues &amp; Expenses'!N21</f>
        <v>No</v>
      </c>
      <c r="O474" s="899" t="str">
        <f>'Part V-Revenues &amp; Expenses'!O21</f>
        <v>Low-Rise Elevator</v>
      </c>
      <c r="P474" s="1853" t="str">
        <f>'Part V-Revenues &amp; Expenses'!P21</f>
        <v>New Construction</v>
      </c>
      <c r="Q474" s="1772" t="str">
        <f>'Part V-Revenues &amp; Expenses'!Q21</f>
        <v>No</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t="str">
        <f t="shared" si="14"/>
        <v/>
      </c>
      <c r="AJ474" s="251">
        <f t="shared" si="15"/>
        <v>21</v>
      </c>
      <c r="AK474" s="251" t="str">
        <f t="shared" si="16"/>
        <v/>
      </c>
      <c r="AL474" s="251" t="str">
        <f t="shared" si="17"/>
        <v/>
      </c>
      <c r="AM474" s="251" t="str">
        <f t="shared" si="18"/>
        <v/>
      </c>
      <c r="AN474" s="251" t="str">
        <f t="shared" si="19"/>
        <v/>
      </c>
      <c r="AO474" s="251" t="str">
        <f t="shared" si="20"/>
        <v/>
      </c>
      <c r="AP474" s="251" t="str">
        <f t="shared" si="21"/>
        <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t="str">
        <f t="shared" si="164"/>
        <v/>
      </c>
      <c r="GD474" s="251">
        <f t="shared" si="165"/>
        <v>20076</v>
      </c>
      <c r="GE474" s="251" t="str">
        <f t="shared" si="166"/>
        <v/>
      </c>
      <c r="GF474" s="251" t="str">
        <f t="shared" si="167"/>
        <v/>
      </c>
      <c r="GG474" s="251" t="str">
        <f t="shared" si="168"/>
        <v/>
      </c>
      <c r="GH474" s="251" t="str">
        <f t="shared" si="169"/>
        <v/>
      </c>
      <c r="GI474" s="251" t="str">
        <f t="shared" si="170"/>
        <v/>
      </c>
      <c r="GJ474" s="251" t="str">
        <f t="shared" si="171"/>
        <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t="str">
        <f t="shared" si="204"/>
        <v/>
      </c>
      <c r="HR474" s="251">
        <f t="shared" si="205"/>
        <v>21</v>
      </c>
      <c r="HS474" s="251" t="str">
        <f t="shared" si="206"/>
        <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t="str">
        <f t="shared" si="249"/>
        <v/>
      </c>
      <c r="JK474" s="1297">
        <f t="shared" si="250"/>
        <v>21</v>
      </c>
      <c r="JL474" s="1297" t="str">
        <f t="shared" si="251"/>
        <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t="str">
        <f t="shared" si="296"/>
        <v/>
      </c>
      <c r="LF474" s="1297" t="str">
        <f t="shared" si="297"/>
        <v/>
      </c>
      <c r="LG474" s="1297" t="str">
        <f t="shared" si="298"/>
        <v/>
      </c>
      <c r="LH474" s="1297" t="str">
        <f t="shared" si="299"/>
        <v/>
      </c>
      <c r="LI474" s="1297">
        <f t="shared" si="300"/>
        <v>21</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0</v>
      </c>
      <c r="NV474" s="1185">
        <f t="shared" si="370"/>
        <v>21</v>
      </c>
      <c r="NW474" s="1185">
        <f t="shared" si="371"/>
        <v>0</v>
      </c>
      <c r="NX474" s="1185">
        <f t="shared" si="372"/>
        <v>0</v>
      </c>
      <c r="NY474" s="1185">
        <f t="shared" si="363"/>
        <v>0</v>
      </c>
      <c r="NZ474" s="1185">
        <f t="shared" si="364"/>
        <v>0</v>
      </c>
      <c r="OA474" s="1185">
        <f t="shared" si="365"/>
        <v>0</v>
      </c>
      <c r="OB474" s="1185">
        <f t="shared" si="366"/>
        <v>0</v>
      </c>
      <c r="OC474" s="1185">
        <f t="shared" si="367"/>
        <v>0</v>
      </c>
      <c r="OY474" s="251" t="s">
        <v>1168</v>
      </c>
      <c r="OZ474" s="1296">
        <v>21</v>
      </c>
    </row>
    <row r="475" spans="1:416" ht="12" customHeight="1">
      <c r="A475" s="1979" t="str">
        <f t="shared" si="0"/>
        <v/>
      </c>
      <c r="B475" s="1998">
        <f>'Part V-Revenues &amp; Expenses'!B22</f>
        <v>70</v>
      </c>
      <c r="C475" s="1999">
        <f>'Part V-Revenues &amp; Expenses'!C22</f>
        <v>1</v>
      </c>
      <c r="D475" s="2000">
        <f>'Part V-Revenues &amp; Expenses'!D22</f>
        <v>1</v>
      </c>
      <c r="E475" s="2001">
        <f>'Part V-Revenues &amp; Expenses'!E22</f>
        <v>2</v>
      </c>
      <c r="F475" s="2001">
        <f>'Part V-Revenues &amp; Expenses'!F22</f>
        <v>700</v>
      </c>
      <c r="G475" s="2001">
        <f>'Part V-Revenues &amp; Expenses'!G22</f>
        <v>1499</v>
      </c>
      <c r="H475" s="2001">
        <f>'Part V-Revenues &amp; Expenses'!H22</f>
        <v>1378</v>
      </c>
      <c r="I475" s="2001">
        <f>'Part V-Revenues &amp; Expenses'!I22</f>
        <v>0</v>
      </c>
      <c r="J475" s="2001">
        <f>'Part V-Revenues &amp; Expenses'!J22</f>
        <v>178</v>
      </c>
      <c r="K475" s="2002">
        <f>'Part V-Revenues &amp; Expenses'!K22</f>
        <v>0</v>
      </c>
      <c r="L475" s="2003">
        <f t="shared" si="1"/>
        <v>1200</v>
      </c>
      <c r="M475" s="2003">
        <f t="shared" si="2"/>
        <v>2400</v>
      </c>
      <c r="N475" s="1853" t="str">
        <f>'Part V-Revenues &amp; Expenses'!N22</f>
        <v>No</v>
      </c>
      <c r="O475" s="899" t="str">
        <f>'Part V-Revenues &amp; Expenses'!O22</f>
        <v>Low-Rise Elevator</v>
      </c>
      <c r="P475" s="1853" t="str">
        <f>'Part V-Revenues &amp; Expenses'!P22</f>
        <v>New Construction</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f t="shared" si="9"/>
        <v>2</v>
      </c>
      <c r="AE475" s="251" t="str">
        <f t="shared" si="10"/>
        <v/>
      </c>
      <c r="AF475" s="251" t="str">
        <f t="shared" si="11"/>
        <v/>
      </c>
      <c r="AG475" s="251" t="str">
        <f t="shared" si="12"/>
        <v/>
      </c>
      <c r="AH475" s="251" t="str">
        <f t="shared" si="13"/>
        <v/>
      </c>
      <c r="AI475" s="251" t="str">
        <f t="shared" si="14"/>
        <v/>
      </c>
      <c r="AJ475" s="251" t="str">
        <f t="shared" si="15"/>
        <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f t="shared" si="69"/>
        <v>2</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f t="shared" si="159"/>
        <v>1400</v>
      </c>
      <c r="FY475" s="251" t="str">
        <f t="shared" si="160"/>
        <v/>
      </c>
      <c r="FZ475" s="251" t="str">
        <f t="shared" si="161"/>
        <v/>
      </c>
      <c r="GA475" s="251" t="str">
        <f t="shared" si="162"/>
        <v/>
      </c>
      <c r="GB475" s="251" t="str">
        <f t="shared" si="163"/>
        <v/>
      </c>
      <c r="GC475" s="251" t="str">
        <f t="shared" si="164"/>
        <v/>
      </c>
      <c r="GD475" s="251" t="str">
        <f t="shared" si="165"/>
        <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f t="shared" si="204"/>
        <v>2</v>
      </c>
      <c r="HR475" s="251" t="str">
        <f t="shared" si="205"/>
        <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f t="shared" si="249"/>
        <v>2</v>
      </c>
      <c r="JK475" s="1297" t="str">
        <f t="shared" si="250"/>
        <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t="str">
        <f t="shared" si="294"/>
        <v/>
      </c>
      <c r="LD475" s="1297" t="str">
        <f t="shared" si="295"/>
        <v/>
      </c>
      <c r="LE475" s="1297" t="str">
        <f t="shared" si="296"/>
        <v/>
      </c>
      <c r="LF475" s="1297" t="str">
        <f t="shared" si="297"/>
        <v/>
      </c>
      <c r="LG475" s="1297" t="str">
        <f t="shared" si="298"/>
        <v/>
      </c>
      <c r="LH475" s="1297">
        <f t="shared" si="299"/>
        <v>2</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2</v>
      </c>
      <c r="NV475" s="1185">
        <f t="shared" si="370"/>
        <v>0</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1169</v>
      </c>
      <c r="OZ475" s="1185">
        <v>22</v>
      </c>
    </row>
    <row r="476" spans="1:416" ht="12" customHeight="1">
      <c r="A476" s="1979" t="str">
        <f t="shared" si="0"/>
        <v/>
      </c>
      <c r="B476" s="1998">
        <f>'Part V-Revenues &amp; Expenses'!B23</f>
        <v>70</v>
      </c>
      <c r="C476" s="1999">
        <f>'Part V-Revenues &amp; Expenses'!C23</f>
        <v>2</v>
      </c>
      <c r="D476" s="2000">
        <f>'Part V-Revenues &amp; Expenses'!D23</f>
        <v>1</v>
      </c>
      <c r="E476" s="2001">
        <f>'Part V-Revenues &amp; Expenses'!E23</f>
        <v>4</v>
      </c>
      <c r="F476" s="2001">
        <f>'Part V-Revenues &amp; Expenses'!F23</f>
        <v>956</v>
      </c>
      <c r="G476" s="2001">
        <f>'Part V-Revenues &amp; Expenses'!G23</f>
        <v>1799</v>
      </c>
      <c r="H476" s="2001">
        <f>'Part V-Revenues &amp; Expenses'!H23</f>
        <v>1524</v>
      </c>
      <c r="I476" s="2001">
        <f>'Part V-Revenues &amp; Expenses'!I23</f>
        <v>0</v>
      </c>
      <c r="J476" s="2001">
        <f>'Part V-Revenues &amp; Expenses'!J23</f>
        <v>224</v>
      </c>
      <c r="K476" s="2002">
        <f>'Part V-Revenues &amp; Expenses'!K23</f>
        <v>0</v>
      </c>
      <c r="L476" s="2003">
        <f t="shared" si="1"/>
        <v>1300</v>
      </c>
      <c r="M476" s="2003">
        <f t="shared" si="2"/>
        <v>5200</v>
      </c>
      <c r="N476" s="1853" t="str">
        <f>'Part V-Revenues &amp; Expenses'!N23</f>
        <v>No</v>
      </c>
      <c r="O476" s="899" t="str">
        <f>'Part V-Revenues &amp; Expenses'!O23</f>
        <v>Low-Rise Elevator</v>
      </c>
      <c r="P476" s="1853" t="str">
        <f>'Part V-Revenues &amp; Expenses'!P23</f>
        <v>New Construction</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f t="shared" si="10"/>
        <v>4</v>
      </c>
      <c r="AF476" s="251" t="str">
        <f t="shared" si="11"/>
        <v/>
      </c>
      <c r="AG476" s="251" t="str">
        <f t="shared" si="12"/>
        <v/>
      </c>
      <c r="AH476" s="251" t="str">
        <f t="shared" si="13"/>
        <v/>
      </c>
      <c r="AI476" s="251" t="str">
        <f t="shared" si="14"/>
        <v/>
      </c>
      <c r="AJ476" s="251" t="str">
        <f t="shared" si="15"/>
        <v/>
      </c>
      <c r="AK476" s="251" t="str">
        <f t="shared" si="16"/>
        <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f t="shared" si="70"/>
        <v>4</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f t="shared" si="160"/>
        <v>3824</v>
      </c>
      <c r="FZ476" s="251" t="str">
        <f t="shared" si="161"/>
        <v/>
      </c>
      <c r="GA476" s="251" t="str">
        <f t="shared" si="162"/>
        <v/>
      </c>
      <c r="GB476" s="251" t="str">
        <f t="shared" si="163"/>
        <v/>
      </c>
      <c r="GC476" s="251" t="str">
        <f t="shared" si="164"/>
        <v/>
      </c>
      <c r="GD476" s="251" t="str">
        <f t="shared" si="165"/>
        <v/>
      </c>
      <c r="GE476" s="251" t="str">
        <f t="shared" si="166"/>
        <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f t="shared" si="205"/>
        <v>4</v>
      </c>
      <c r="HS476" s="251" t="str">
        <f t="shared" si="206"/>
        <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f t="shared" si="250"/>
        <v>4</v>
      </c>
      <c r="JL476" s="1297" t="str">
        <f t="shared" si="251"/>
        <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t="str">
        <f t="shared" si="295"/>
        <v/>
      </c>
      <c r="LE476" s="1297" t="str">
        <f t="shared" si="296"/>
        <v/>
      </c>
      <c r="LF476" s="1297" t="str">
        <f t="shared" si="297"/>
        <v/>
      </c>
      <c r="LG476" s="1297" t="str">
        <f t="shared" si="298"/>
        <v/>
      </c>
      <c r="LH476" s="1297" t="str">
        <f t="shared" si="299"/>
        <v/>
      </c>
      <c r="LI476" s="1297">
        <f t="shared" si="300"/>
        <v>4</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0</v>
      </c>
      <c r="NV476" s="1185">
        <f t="shared" si="370"/>
        <v>4</v>
      </c>
      <c r="NW476" s="1185">
        <f t="shared" si="371"/>
        <v>0</v>
      </c>
      <c r="NX476" s="1185">
        <f t="shared" si="372"/>
        <v>0</v>
      </c>
      <c r="NY476" s="1185">
        <f t="shared" si="363"/>
        <v>0</v>
      </c>
      <c r="NZ476" s="1185">
        <f t="shared" si="364"/>
        <v>0</v>
      </c>
      <c r="OA476" s="1185">
        <f t="shared" si="365"/>
        <v>0</v>
      </c>
      <c r="OB476" s="1185">
        <f t="shared" si="366"/>
        <v>0</v>
      </c>
      <c r="OC476" s="1185">
        <f t="shared" si="367"/>
        <v>0</v>
      </c>
      <c r="OY476" s="251" t="s">
        <v>1170</v>
      </c>
      <c r="OZ476" s="1296">
        <v>23</v>
      </c>
    </row>
    <row r="477" spans="1:416" ht="12" customHeight="1">
      <c r="A477" s="1979" t="str">
        <f t="shared" si="0"/>
        <v/>
      </c>
      <c r="B477" s="1998">
        <f>'Part V-Revenues &amp; Expenses'!B24</f>
        <v>0</v>
      </c>
      <c r="C477" s="1999">
        <f>'Part V-Revenues &amp; Expenses'!C24</f>
        <v>0</v>
      </c>
      <c r="D477" s="2000">
        <f>'Part V-Revenues &amp; Expenses'!D24</f>
        <v>0</v>
      </c>
      <c r="E477" s="2001">
        <f>'Part V-Revenues &amp; Expenses'!E24</f>
        <v>0</v>
      </c>
      <c r="F477" s="2001">
        <f>'Part V-Revenues &amp; Expenses'!F24</f>
        <v>0</v>
      </c>
      <c r="G477" s="2001">
        <f>'Part V-Revenues &amp; Expenses'!G24</f>
        <v>0</v>
      </c>
      <c r="H477" s="2001">
        <f>'Part V-Revenues &amp; Expenses'!H24</f>
        <v>0</v>
      </c>
      <c r="I477" s="2001">
        <f>'Part V-Revenues &amp; Expenses'!I24</f>
        <v>0</v>
      </c>
      <c r="J477" s="2001">
        <f>'Part V-Revenues &amp; Expenses'!J24</f>
        <v>0</v>
      </c>
      <c r="K477" s="2002">
        <f>'Part V-Revenues &amp; Expenses'!K24</f>
        <v>0</v>
      </c>
      <c r="L477" s="2003">
        <f t="shared" si="1"/>
        <v>0</v>
      </c>
      <c r="M477" s="2003">
        <f t="shared" si="2"/>
        <v>0</v>
      </c>
      <c r="N477" s="1853">
        <f>'Part V-Revenues &amp; Expenses'!N24</f>
        <v>0</v>
      </c>
      <c r="O477" s="899">
        <f>'Part V-Revenues &amp; Expenses'!O24</f>
        <v>0</v>
      </c>
      <c r="P477" s="1853">
        <f>'Part V-Revenues &amp; Expenses'!P24</f>
        <v>0</v>
      </c>
      <c r="Q477" s="1772">
        <f>'Part V-Revenues &amp; Expenses'!Q24</f>
        <v>0</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t="str">
        <f t="shared" si="16"/>
        <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t="str">
        <f t="shared" si="166"/>
        <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t="str">
        <f t="shared" si="251"/>
        <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t="str">
        <f t="shared" si="296"/>
        <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1171</v>
      </c>
      <c r="OZ477" s="1296">
        <v>24</v>
      </c>
    </row>
    <row r="478" spans="1:416" ht="12" customHeight="1">
      <c r="A478" s="1979" t="str">
        <f t="shared" si="0"/>
        <v/>
      </c>
      <c r="B478" s="1998">
        <f>'Part V-Revenues &amp; Expenses'!B25</f>
        <v>0</v>
      </c>
      <c r="C478" s="1999">
        <f>'Part V-Revenues &amp; Expenses'!C25</f>
        <v>0</v>
      </c>
      <c r="D478" s="2000">
        <f>'Part V-Revenues &amp; Expenses'!D25</f>
        <v>0</v>
      </c>
      <c r="E478" s="2001">
        <f>'Part V-Revenues &amp; Expenses'!E25</f>
        <v>0</v>
      </c>
      <c r="F478" s="2001">
        <f>'Part V-Revenues &amp; Expenses'!F25</f>
        <v>0</v>
      </c>
      <c r="G478" s="2001">
        <f>'Part V-Revenues &amp; Expenses'!G25</f>
        <v>0</v>
      </c>
      <c r="H478" s="2001">
        <f>'Part V-Revenues &amp; Expenses'!H25</f>
        <v>0</v>
      </c>
      <c r="I478" s="2001">
        <f>'Part V-Revenues &amp; Expenses'!I25</f>
        <v>0</v>
      </c>
      <c r="J478" s="2001">
        <f>'Part V-Revenues &amp; Expenses'!J25</f>
        <v>0</v>
      </c>
      <c r="K478" s="2002">
        <f>'Part V-Revenues &amp; Expenses'!K25</f>
        <v>0</v>
      </c>
      <c r="L478" s="2003">
        <f t="shared" si="1"/>
        <v>0</v>
      </c>
      <c r="M478" s="2003">
        <f t="shared" si="2"/>
        <v>0</v>
      </c>
      <c r="N478" s="1853">
        <f>'Part V-Revenues &amp; Expenses'!N25</f>
        <v>0</v>
      </c>
      <c r="O478" s="899">
        <f>'Part V-Revenues &amp; Expenses'!O25</f>
        <v>0</v>
      </c>
      <c r="P478" s="1853">
        <f>'Part V-Revenues &amp; Expenses'!P25</f>
        <v>0</v>
      </c>
      <c r="Q478" s="1772">
        <f>'Part V-Revenues &amp; Expenses'!Q25</f>
        <v>0</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1172</v>
      </c>
      <c r="OZ478" s="1185">
        <v>25</v>
      </c>
    </row>
    <row r="479" spans="1:416" ht="12" customHeight="1">
      <c r="A479" s="1979" t="str">
        <f t="shared" si="0"/>
        <v/>
      </c>
      <c r="B479" s="1998">
        <f>'Part V-Revenues &amp; Expenses'!B26</f>
        <v>0</v>
      </c>
      <c r="C479" s="1999">
        <f>'Part V-Revenues &amp; Expenses'!C26</f>
        <v>0</v>
      </c>
      <c r="D479" s="2000">
        <f>'Part V-Revenues &amp; Expenses'!D26</f>
        <v>0</v>
      </c>
      <c r="E479" s="2001">
        <f>'Part V-Revenues &amp; Expenses'!E26</f>
        <v>0</v>
      </c>
      <c r="F479" s="2001">
        <f>'Part V-Revenues &amp; Expenses'!F26</f>
        <v>0</v>
      </c>
      <c r="G479" s="2001">
        <f>'Part V-Revenues &amp; Expenses'!G26</f>
        <v>0</v>
      </c>
      <c r="H479" s="2001">
        <f>'Part V-Revenues &amp; Expenses'!H26</f>
        <v>0</v>
      </c>
      <c r="I479" s="2001">
        <f>'Part V-Revenues &amp; Expenses'!I26</f>
        <v>0</v>
      </c>
      <c r="J479" s="2001">
        <f>'Part V-Revenues &amp; Expenses'!J26</f>
        <v>0</v>
      </c>
      <c r="K479" s="2002">
        <f>'Part V-Revenues &amp; Expenses'!K26</f>
        <v>0</v>
      </c>
      <c r="L479" s="2003">
        <f t="shared" si="1"/>
        <v>0</v>
      </c>
      <c r="M479" s="2003">
        <f t="shared" si="2"/>
        <v>0</v>
      </c>
      <c r="N479" s="1853">
        <f>'Part V-Revenues &amp; Expenses'!N26</f>
        <v>0</v>
      </c>
      <c r="O479" s="899">
        <f>'Part V-Revenues &amp; Expenses'!O26</f>
        <v>0</v>
      </c>
      <c r="P479" s="1853">
        <f>'Part V-Revenues &amp; Expenses'!P26</f>
        <v>0</v>
      </c>
      <c r="Q479" s="1772">
        <f>'Part V-Revenues &amp; Expenses'!Q26</f>
        <v>0</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1173</v>
      </c>
      <c r="OZ479" s="1296">
        <v>26</v>
      </c>
    </row>
    <row r="480" spans="1:416" ht="12" customHeight="1">
      <c r="A480" s="1979" t="str">
        <f t="shared" si="0"/>
        <v/>
      </c>
      <c r="B480" s="1998">
        <f>'Part V-Revenues &amp; Expenses'!B27</f>
        <v>0</v>
      </c>
      <c r="C480" s="1999">
        <f>'Part V-Revenues &amp; Expenses'!C27</f>
        <v>0</v>
      </c>
      <c r="D480" s="2000">
        <f>'Part V-Revenues &amp; Expenses'!D27</f>
        <v>0</v>
      </c>
      <c r="E480" s="2001">
        <f>'Part V-Revenues &amp; Expenses'!E27</f>
        <v>0</v>
      </c>
      <c r="F480" s="2001">
        <f>'Part V-Revenues &amp; Expenses'!F27</f>
        <v>0</v>
      </c>
      <c r="G480" s="2001">
        <f>'Part V-Revenues &amp; Expenses'!G27</f>
        <v>0</v>
      </c>
      <c r="H480" s="2001">
        <f>'Part V-Revenues &amp; Expenses'!H27</f>
        <v>0</v>
      </c>
      <c r="I480" s="2001">
        <f>'Part V-Revenues &amp; Expenses'!I27</f>
        <v>0</v>
      </c>
      <c r="J480" s="2001">
        <f>'Part V-Revenues &amp; Expenses'!J27</f>
        <v>0</v>
      </c>
      <c r="K480" s="2002">
        <f>'Part V-Revenues &amp; Expenses'!K27</f>
        <v>0</v>
      </c>
      <c r="L480" s="2003">
        <f t="shared" si="1"/>
        <v>0</v>
      </c>
      <c r="M480" s="2003">
        <f t="shared" si="2"/>
        <v>0</v>
      </c>
      <c r="N480" s="1853">
        <f>'Part V-Revenues &amp; Expenses'!N27</f>
        <v>0</v>
      </c>
      <c r="O480" s="899">
        <f>'Part V-Revenues &amp; Expenses'!O27</f>
        <v>0</v>
      </c>
      <c r="P480" s="1853">
        <f>'Part V-Revenues &amp; Expenses'!P27</f>
        <v>0</v>
      </c>
      <c r="Q480" s="1772">
        <f>'Part V-Revenues &amp; Expenses'!Q27</f>
        <v>0</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t="str">
        <f t="shared" si="250"/>
        <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t="str">
        <f t="shared" si="295"/>
        <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0</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1174</v>
      </c>
      <c r="OZ480" s="1296">
        <v>27</v>
      </c>
    </row>
    <row r="481" spans="1:416" ht="12" customHeight="1">
      <c r="A481" s="1979" t="str">
        <f t="shared" si="0"/>
        <v/>
      </c>
      <c r="B481" s="1998">
        <f>'Part V-Revenues &amp; Expenses'!B28</f>
        <v>0</v>
      </c>
      <c r="C481" s="1999">
        <f>'Part V-Revenues &amp; Expenses'!C28</f>
        <v>0</v>
      </c>
      <c r="D481" s="2000">
        <f>'Part V-Revenues &amp; Expenses'!D28</f>
        <v>0</v>
      </c>
      <c r="E481" s="2001">
        <f>'Part V-Revenues &amp; Expenses'!E28</f>
        <v>0</v>
      </c>
      <c r="F481" s="2001">
        <f>'Part V-Revenues &amp; Expenses'!F28</f>
        <v>0</v>
      </c>
      <c r="G481" s="2001">
        <f>'Part V-Revenues &amp; Expenses'!G28</f>
        <v>0</v>
      </c>
      <c r="H481" s="2001">
        <f>'Part V-Revenues &amp; Expenses'!H28</f>
        <v>0</v>
      </c>
      <c r="I481" s="2001">
        <f>'Part V-Revenues &amp; Expenses'!I28</f>
        <v>0</v>
      </c>
      <c r="J481" s="2001">
        <f>'Part V-Revenues &amp; Expenses'!J28</f>
        <v>0</v>
      </c>
      <c r="K481" s="2002">
        <f>'Part V-Revenues &amp; Expenses'!K28</f>
        <v>0</v>
      </c>
      <c r="L481" s="2003">
        <f t="shared" si="1"/>
        <v>0</v>
      </c>
      <c r="M481" s="2003">
        <f t="shared" si="2"/>
        <v>0</v>
      </c>
      <c r="N481" s="1853">
        <f>'Part V-Revenues &amp; Expenses'!N28</f>
        <v>0</v>
      </c>
      <c r="O481" s="899">
        <f>'Part V-Revenues &amp; Expenses'!O28</f>
        <v>0</v>
      </c>
      <c r="P481" s="1853">
        <f>'Part V-Revenues &amp; Expenses'!P28</f>
        <v>0</v>
      </c>
      <c r="Q481" s="1772">
        <f>'Part V-Revenues &amp; Expenses'!Q28</f>
        <v>0</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1175</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1176</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1177</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1178</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1179</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1180</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1181</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1182</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1183</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1184</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1185</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1186</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1187</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1188</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1189</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1190</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1191</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1192</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1193</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1194</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1194</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1192</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1193</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1194</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1194</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1194</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1194</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1194</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1194</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1195</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1196</v>
      </c>
      <c r="C511" s="2006"/>
      <c r="D511" s="2007" t="s">
        <v>1197</v>
      </c>
      <c r="E511" s="2008">
        <f>SUM(E464:E510)</f>
        <v>60</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51216</v>
      </c>
      <c r="H511" s="2010" t="s">
        <v>1198</v>
      </c>
      <c r="I511" s="2011" t="s">
        <v>1199</v>
      </c>
      <c r="J511" s="2012" t="str">
        <f>IF(P518=0,"",IF(SUM(#REF!)/P518&gt;=0.4,"Pass","Fail"))</f>
        <v/>
      </c>
      <c r="K511" s="257"/>
      <c r="L511" s="2013" t="s">
        <v>1200</v>
      </c>
      <c r="M511" s="2014">
        <f>SUM(M464:M510)</f>
        <v>67222</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2</v>
      </c>
      <c r="AE511" s="1186">
        <f t="shared" si="373"/>
        <v>4</v>
      </c>
      <c r="AF511" s="1186">
        <f t="shared" si="373"/>
        <v>0</v>
      </c>
      <c r="AG511" s="1186">
        <f t="shared" si="373"/>
        <v>0</v>
      </c>
      <c r="AH511" s="1186">
        <f t="shared" si="373"/>
        <v>0</v>
      </c>
      <c r="AI511" s="1186">
        <f t="shared" si="373"/>
        <v>15</v>
      </c>
      <c r="AJ511" s="1186">
        <f t="shared" si="373"/>
        <v>21</v>
      </c>
      <c r="AK511" s="1186">
        <f t="shared" si="373"/>
        <v>0</v>
      </c>
      <c r="AL511" s="1186">
        <f t="shared" si="373"/>
        <v>0</v>
      </c>
      <c r="AM511" s="1186">
        <f>SUM(AM464:AM510)</f>
        <v>0</v>
      </c>
      <c r="AN511" s="1186">
        <f>SUM(AN464:AN510)</f>
        <v>7</v>
      </c>
      <c r="AO511" s="1186">
        <f>SUM(AO464:AO510)</f>
        <v>11</v>
      </c>
      <c r="AP511" s="1186">
        <f>SUM(AP464:AP510)</f>
        <v>0</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0</v>
      </c>
      <c r="BI511" s="1186">
        <f t="shared" si="373"/>
        <v>0</v>
      </c>
      <c r="BJ511" s="1186">
        <f t="shared" si="373"/>
        <v>0</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0</v>
      </c>
      <c r="CD511" s="1186">
        <f t="shared" si="373"/>
        <v>0</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2</v>
      </c>
      <c r="CM511" s="1186">
        <f>SUM(CM464:CM510)</f>
        <v>4</v>
      </c>
      <c r="CN511" s="1186">
        <f>SUM(CN464:CN510)</f>
        <v>0</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1400</v>
      </c>
      <c r="FY511" s="1186">
        <f t="shared" si="373"/>
        <v>3824</v>
      </c>
      <c r="FZ511" s="1186">
        <f t="shared" si="373"/>
        <v>0</v>
      </c>
      <c r="GA511" s="1186">
        <f t="shared" si="373"/>
        <v>0</v>
      </c>
      <c r="GB511" s="1186">
        <f t="shared" si="373"/>
        <v>0</v>
      </c>
      <c r="GC511" s="1186">
        <f t="shared" si="373"/>
        <v>10500</v>
      </c>
      <c r="GD511" s="1186">
        <f t="shared" si="373"/>
        <v>20076</v>
      </c>
      <c r="GE511" s="1186">
        <f t="shared" si="373"/>
        <v>0</v>
      </c>
      <c r="GF511" s="1186">
        <f t="shared" si="373"/>
        <v>0</v>
      </c>
      <c r="GG511" s="1186">
        <f t="shared" si="373"/>
        <v>0</v>
      </c>
      <c r="GH511" s="1186">
        <f t="shared" si="373"/>
        <v>4900</v>
      </c>
      <c r="GI511" s="1186">
        <f t="shared" si="373"/>
        <v>10516</v>
      </c>
      <c r="GJ511" s="1186">
        <f t="shared" si="373"/>
        <v>0</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0</v>
      </c>
      <c r="HC511" s="1186">
        <f t="shared" si="375"/>
        <v>0</v>
      </c>
      <c r="HD511" s="1186">
        <f t="shared" si="375"/>
        <v>0</v>
      </c>
      <c r="HE511" s="1186">
        <f t="shared" si="375"/>
        <v>0</v>
      </c>
      <c r="HF511" s="1186">
        <f t="shared" si="375"/>
        <v>0</v>
      </c>
      <c r="HG511" s="1186">
        <f t="shared" si="375"/>
        <v>0</v>
      </c>
      <c r="HH511" s="1186">
        <f t="shared" si="375"/>
        <v>0</v>
      </c>
      <c r="HI511" s="1186">
        <f t="shared" si="375"/>
        <v>0</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24</v>
      </c>
      <c r="HR511" s="1186">
        <f t="shared" si="375"/>
        <v>36</v>
      </c>
      <c r="HS511" s="1186">
        <f t="shared" si="375"/>
        <v>0</v>
      </c>
      <c r="HT511" s="1186">
        <f t="shared" si="375"/>
        <v>0</v>
      </c>
      <c r="HU511" s="1186">
        <f t="shared" si="375"/>
        <v>0</v>
      </c>
      <c r="HV511" s="1186">
        <f t="shared" si="375"/>
        <v>0</v>
      </c>
      <c r="HW511" s="1186">
        <f t="shared" si="375"/>
        <v>0</v>
      </c>
      <c r="HX511" s="1186">
        <f t="shared" si="375"/>
        <v>0</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0</v>
      </c>
      <c r="IG511" s="1186">
        <f t="shared" si="375"/>
        <v>0</v>
      </c>
      <c r="IH511" s="1186">
        <f t="shared" si="375"/>
        <v>0</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24</v>
      </c>
      <c r="JK511" s="1186">
        <f t="shared" si="376"/>
        <v>36</v>
      </c>
      <c r="JL511" s="1186">
        <f t="shared" si="376"/>
        <v>0</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0</v>
      </c>
      <c r="LD511" s="1186">
        <f t="shared" si="376"/>
        <v>0</v>
      </c>
      <c r="LE511" s="1186">
        <f t="shared" si="376"/>
        <v>0</v>
      </c>
      <c r="LF511" s="1186">
        <f t="shared" si="376"/>
        <v>0</v>
      </c>
      <c r="LG511" s="1186">
        <f>SUM(LG464:LG510)</f>
        <v>0</v>
      </c>
      <c r="LH511" s="1186">
        <f>SUM(LH464:LH510)</f>
        <v>24</v>
      </c>
      <c r="LI511" s="1186">
        <f>SUM(LI464:LI510)</f>
        <v>36</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24</v>
      </c>
      <c r="NV511" s="1186">
        <f t="shared" si="378"/>
        <v>36</v>
      </c>
      <c r="NW511" s="1186">
        <f t="shared" si="378"/>
        <v>0</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1201</v>
      </c>
      <c r="OZ511" s="1296">
        <v>54</v>
      </c>
    </row>
    <row r="512" spans="1:416" ht="14.1"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58</v>
      </c>
      <c r="C512" s="2015"/>
      <c r="D512" s="1979" t="s">
        <v>1202</v>
      </c>
      <c r="E512" s="2008">
        <f>SUM(E471:E510)</f>
        <v>60</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51216</v>
      </c>
      <c r="H512" s="2010"/>
      <c r="I512" s="2011" t="s">
        <v>1203</v>
      </c>
      <c r="J512" s="2012" t="str">
        <f>IF(P518=0,"",IF(SUM(#REF!)/P518&gt;=0.2,"Pass","Fail"))</f>
        <v/>
      </c>
      <c r="K512" s="257"/>
      <c r="L512" s="2007" t="s">
        <v>1204</v>
      </c>
      <c r="M512" s="2014">
        <f>M511*12</f>
        <v>806664</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1205</v>
      </c>
      <c r="OZ512" s="1296">
        <v>55</v>
      </c>
    </row>
    <row r="513" spans="1:416" ht="7.5" customHeight="1">
      <c r="A513" s="5028" t="s">
        <v>7547</v>
      </c>
      <c r="B513" s="5028"/>
      <c r="C513" s="5028"/>
      <c r="D513" s="5028"/>
      <c r="E513" s="5028"/>
      <c r="F513" s="5028"/>
      <c r="G513" s="5028"/>
      <c r="H513" s="5028"/>
      <c r="I513" s="5028"/>
      <c r="J513" s="5028"/>
      <c r="K513" s="5028"/>
      <c r="L513" s="5028"/>
      <c r="M513" s="5028"/>
      <c r="N513" s="5028"/>
      <c r="O513" s="5028"/>
      <c r="P513" s="5028"/>
      <c r="Q513" s="5028"/>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28"/>
      <c r="B514" s="5028"/>
      <c r="C514" s="5028"/>
      <c r="D514" s="5028"/>
      <c r="E514" s="5028"/>
      <c r="F514" s="5028"/>
      <c r="G514" s="5028"/>
      <c r="H514" s="5028"/>
      <c r="I514" s="5028"/>
      <c r="J514" s="5028"/>
      <c r="K514" s="5028"/>
      <c r="L514" s="5028"/>
      <c r="M514" s="5028"/>
      <c r="N514" s="5028"/>
      <c r="O514" s="5028"/>
      <c r="P514" s="5028"/>
      <c r="Q514" s="5028"/>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85" customHeight="1">
      <c r="A515" s="255" t="s">
        <v>25</v>
      </c>
      <c r="B515" s="255" t="s">
        <v>1207</v>
      </c>
      <c r="K515" s="2017" t="s">
        <v>1208</v>
      </c>
      <c r="O515" s="1815" t="str">
        <f>'Part V-Revenues &amp; Expenses'!O62</f>
        <v>Income Averaging</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1209</v>
      </c>
      <c r="O516" s="1815" t="str">
        <f>'Part V-Revenues &amp; Expenses'!O63</f>
        <v>N/a</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85" customHeight="1">
      <c r="A517" s="255"/>
      <c r="B517" s="255" t="s">
        <v>1211</v>
      </c>
      <c r="H517" s="251" t="s">
        <v>1212</v>
      </c>
      <c r="K517" s="2018" t="s">
        <v>770</v>
      </c>
      <c r="L517" s="1298" t="s">
        <v>1213</v>
      </c>
      <c r="M517" s="1298" t="s">
        <v>1214</v>
      </c>
      <c r="N517" s="1298" t="s">
        <v>1215</v>
      </c>
      <c r="O517" s="1298" t="s">
        <v>1216</v>
      </c>
      <c r="P517" s="1298" t="s">
        <v>287</v>
      </c>
      <c r="S517" s="255" t="s">
        <v>791</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1217</v>
      </c>
      <c r="B518" s="2019"/>
      <c r="C518" s="253" t="s">
        <v>1218</v>
      </c>
      <c r="D518" s="253"/>
      <c r="E518" s="253"/>
      <c r="F518" s="253"/>
      <c r="H518" s="1004" t="s">
        <v>1219</v>
      </c>
      <c r="I518" s="256"/>
      <c r="K518" s="2020">
        <f>X511</f>
        <v>0</v>
      </c>
      <c r="L518" s="2020">
        <f>Y511</f>
        <v>0</v>
      </c>
      <c r="M518" s="2020">
        <f>Z511</f>
        <v>0</v>
      </c>
      <c r="N518" s="2020">
        <f>AA511</f>
        <v>0</v>
      </c>
      <c r="O518" s="2020">
        <f>AB511</f>
        <v>0</v>
      </c>
      <c r="P518" s="2020">
        <f t="shared" ref="P518:P529" si="379">SUM(K518:O518)</f>
        <v>0</v>
      </c>
      <c r="Q518" s="1820" t="s">
        <v>1220</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1221</v>
      </c>
      <c r="I519" s="256"/>
      <c r="K519" s="2020">
        <f>AC511</f>
        <v>0</v>
      </c>
      <c r="L519" s="2020">
        <f>AD511</f>
        <v>2</v>
      </c>
      <c r="M519" s="2020">
        <f>AE511</f>
        <v>4</v>
      </c>
      <c r="N519" s="2020">
        <f>AF511</f>
        <v>0</v>
      </c>
      <c r="O519" s="2020">
        <f>AG511</f>
        <v>0</v>
      </c>
      <c r="P519" s="2020">
        <f t="shared" si="379"/>
        <v>6</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1222</v>
      </c>
      <c r="I520" s="256"/>
      <c r="K520" s="2020">
        <f>AH511</f>
        <v>0</v>
      </c>
      <c r="L520" s="2020">
        <f>AI511</f>
        <v>15</v>
      </c>
      <c r="M520" s="2020">
        <f>AJ511</f>
        <v>21</v>
      </c>
      <c r="N520" s="2020">
        <f>AK511</f>
        <v>0</v>
      </c>
      <c r="O520" s="2020">
        <f>AL511</f>
        <v>0</v>
      </c>
      <c r="P520" s="2020">
        <f t="shared" si="379"/>
        <v>36</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1223</v>
      </c>
      <c r="I521" s="256"/>
      <c r="K521" s="2020">
        <f>AM511</f>
        <v>0</v>
      </c>
      <c r="L521" s="2020">
        <f>AN511</f>
        <v>7</v>
      </c>
      <c r="M521" s="2020">
        <f>AO511</f>
        <v>11</v>
      </c>
      <c r="N521" s="2020">
        <f>AP511</f>
        <v>0</v>
      </c>
      <c r="O521" s="2020">
        <f>AQ511</f>
        <v>0</v>
      </c>
      <c r="P521" s="2020">
        <f t="shared" si="379"/>
        <v>18</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1224</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1225</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1226</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1227</v>
      </c>
      <c r="D525" s="253"/>
      <c r="E525" s="253"/>
      <c r="F525" s="253"/>
      <c r="H525" s="254"/>
      <c r="I525" s="590"/>
      <c r="K525" s="2020">
        <f>SUM(K518:K524)</f>
        <v>0</v>
      </c>
      <c r="L525" s="2020">
        <f>SUM(L518:L524)</f>
        <v>24</v>
      </c>
      <c r="M525" s="2020">
        <f>SUM(M518:M524)</f>
        <v>36</v>
      </c>
      <c r="N525" s="2020">
        <f>SUM(N518:N524)</f>
        <v>0</v>
      </c>
      <c r="O525" s="2020">
        <f>SUM(O518:O524)</f>
        <v>0</v>
      </c>
      <c r="P525" s="2020">
        <f t="shared" si="379"/>
        <v>60</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1159</v>
      </c>
      <c r="I526" s="256"/>
      <c r="K526" s="2020">
        <f>BG511</f>
        <v>0</v>
      </c>
      <c r="L526" s="2020">
        <f>BH511</f>
        <v>0</v>
      </c>
      <c r="M526" s="2020">
        <f>BI511</f>
        <v>0</v>
      </c>
      <c r="N526" s="2020">
        <f>BJ511</f>
        <v>0</v>
      </c>
      <c r="O526" s="2020">
        <f>BK511</f>
        <v>0</v>
      </c>
      <c r="P526" s="2020">
        <f t="shared" si="379"/>
        <v>0</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1228</v>
      </c>
      <c r="D527" s="2021"/>
      <c r="E527" s="2021"/>
      <c r="F527" s="2021"/>
      <c r="G527" s="2022"/>
      <c r="H527" s="2023"/>
      <c r="I527" s="2024"/>
      <c r="J527" s="2022"/>
      <c r="K527" s="2025">
        <f>SUM(K525:K526)</f>
        <v>0</v>
      </c>
      <c r="L527" s="2025">
        <f>SUM(L525:L526)</f>
        <v>24</v>
      </c>
      <c r="M527" s="2025">
        <f>SUM(M525:M526)</f>
        <v>36</v>
      </c>
      <c r="N527" s="2025">
        <f>SUM(N525:N526)</f>
        <v>0</v>
      </c>
      <c r="O527" s="2025">
        <f>SUM(O525:O526)</f>
        <v>0</v>
      </c>
      <c r="P527" s="2025">
        <f t="shared" si="379"/>
        <v>60</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1229</v>
      </c>
      <c r="I528" s="256"/>
      <c r="K528" s="2020">
        <f>FM511</f>
        <v>0</v>
      </c>
      <c r="L528" s="2020">
        <f>FN511</f>
        <v>0</v>
      </c>
      <c r="M528" s="2020">
        <f>FO511</f>
        <v>0</v>
      </c>
      <c r="N528" s="2020">
        <f>FP511</f>
        <v>0</v>
      </c>
      <c r="O528" s="2020">
        <f>FQ511</f>
        <v>0</v>
      </c>
      <c r="P528" s="2020">
        <f t="shared" si="379"/>
        <v>0</v>
      </c>
      <c r="Q528" s="1820" t="s">
        <v>1230</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1231</v>
      </c>
      <c r="D529" s="253"/>
      <c r="E529" s="253"/>
      <c r="F529" s="253"/>
      <c r="H529" s="1004"/>
      <c r="I529" s="256"/>
      <c r="K529" s="2026">
        <f>SUM(K527:K528)</f>
        <v>0</v>
      </c>
      <c r="L529" s="2026">
        <f>SUM(L527:L528)</f>
        <v>24</v>
      </c>
      <c r="M529" s="2026">
        <f>SUM(M527:M528)</f>
        <v>36</v>
      </c>
      <c r="N529" s="2026">
        <f>SUM(N527:N528)</f>
        <v>0</v>
      </c>
      <c r="O529" s="2026">
        <f>SUM(O527:O528)</f>
        <v>0</v>
      </c>
      <c r="P529" s="2026">
        <f t="shared" si="379"/>
        <v>60</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350000000000001"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1232</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35" customHeight="1">
      <c r="A532" s="2019"/>
      <c r="B532" s="2019"/>
      <c r="C532" s="2027"/>
      <c r="D532" s="2027"/>
      <c r="E532" s="2027"/>
      <c r="F532" s="2027"/>
      <c r="H532" s="1004" t="s">
        <v>1219</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1233</v>
      </c>
      <c r="S532" s="1920"/>
      <c r="T532" s="1920"/>
      <c r="U532" s="1920"/>
      <c r="V532" s="1920"/>
      <c r="W532" s="1920"/>
      <c r="OZ532" s="1185">
        <v>75</v>
      </c>
    </row>
    <row r="533" spans="1:416">
      <c r="A533" s="2019"/>
      <c r="B533" s="2019"/>
      <c r="C533" s="253"/>
      <c r="H533" s="1004" t="s">
        <v>7548</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7549</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7550</v>
      </c>
      <c r="E535" s="253"/>
      <c r="F535" s="253"/>
      <c r="H535" s="1004" t="s">
        <v>1221</v>
      </c>
      <c r="I535" s="256"/>
      <c r="J535" s="253"/>
      <c r="K535" s="2029" t="str">
        <f t="shared" ref="K535:P535" si="382">IF(OR(K519=0,K529=0),"",K519/K529)</f>
        <v/>
      </c>
      <c r="L535" s="2029">
        <f t="shared" si="382"/>
        <v>8.3333333333333329E-2</v>
      </c>
      <c r="M535" s="2029">
        <f t="shared" si="382"/>
        <v>0.1111111111111111</v>
      </c>
      <c r="N535" s="2029" t="str">
        <f t="shared" si="382"/>
        <v/>
      </c>
      <c r="O535" s="2029" t="str">
        <f t="shared" si="382"/>
        <v/>
      </c>
      <c r="P535" s="2029">
        <f t="shared" si="382"/>
        <v>0.1</v>
      </c>
      <c r="S535" s="1920"/>
      <c r="T535" s="1920"/>
      <c r="U535" s="1920"/>
      <c r="V535" s="1920"/>
      <c r="W535" s="1920"/>
      <c r="OZ535" s="1185">
        <v>78</v>
      </c>
    </row>
    <row r="536" spans="1:416">
      <c r="C536" s="253"/>
      <c r="D536" s="253"/>
      <c r="E536" s="253"/>
      <c r="F536" s="253"/>
      <c r="H536" s="1004" t="s">
        <v>7548</v>
      </c>
      <c r="I536" s="256"/>
      <c r="J536" s="253"/>
      <c r="K536" s="2030" t="str">
        <f>IF(OR(K519=0,P535="",K529=0),"",P535*K529)</f>
        <v/>
      </c>
      <c r="L536" s="2030">
        <f>IF(OR(L519=0,P535="",L529=0),"",P535*L529)</f>
        <v>2.4000000000000004</v>
      </c>
      <c r="M536" s="2030">
        <f>IF(OR(M519=0,P535="",M529=0),"",P535*M529)</f>
        <v>3.6</v>
      </c>
      <c r="N536" s="2030" t="str">
        <f>IF(OR(N519=0,P535="",N529=0),"",P535*N529)</f>
        <v/>
      </c>
      <c r="O536" s="2030" t="str">
        <f>IF(OR(O519=0,P535="",O529=0),"",P535*O529)</f>
        <v/>
      </c>
      <c r="P536" s="2030">
        <f>IF(OR(P535="",P529=0),"",P535*P529)</f>
        <v>6</v>
      </c>
      <c r="S536" s="1920"/>
      <c r="T536" s="1920"/>
      <c r="U536" s="1920"/>
      <c r="V536" s="1920"/>
      <c r="W536" s="1920"/>
      <c r="OZ536" s="1296">
        <v>79</v>
      </c>
    </row>
    <row r="537" spans="1:416">
      <c r="C537" s="253"/>
      <c r="D537" s="253"/>
      <c r="E537" s="253"/>
      <c r="F537" s="253"/>
      <c r="G537" s="2011"/>
      <c r="H537" s="1004" t="s">
        <v>7549</v>
      </c>
      <c r="I537" s="256"/>
      <c r="J537" s="253"/>
      <c r="K537" s="2030" t="str">
        <f t="shared" ref="K537:P537" si="383">IF(OR(K536="",K519=0),"", K519-K536)</f>
        <v/>
      </c>
      <c r="L537" s="2030">
        <f t="shared" si="383"/>
        <v>-0.40000000000000036</v>
      </c>
      <c r="M537" s="2030">
        <f t="shared" si="383"/>
        <v>0.39999999999999991</v>
      </c>
      <c r="N537" s="2030" t="str">
        <f t="shared" si="383"/>
        <v/>
      </c>
      <c r="O537" s="2030" t="str">
        <f t="shared" si="383"/>
        <v/>
      </c>
      <c r="P537" s="2030">
        <f t="shared" si="383"/>
        <v>0</v>
      </c>
      <c r="S537" s="1920"/>
      <c r="T537" s="1920"/>
      <c r="U537" s="1920"/>
      <c r="V537" s="1920"/>
      <c r="W537" s="1920"/>
      <c r="OZ537" s="1296">
        <v>80</v>
      </c>
    </row>
    <row r="538" spans="1:416">
      <c r="C538" s="255" t="s">
        <v>1237</v>
      </c>
      <c r="D538" s="253"/>
      <c r="E538" s="253"/>
      <c r="F538" s="253"/>
      <c r="H538" s="1004" t="s">
        <v>1222</v>
      </c>
      <c r="I538" s="256"/>
      <c r="J538" s="253"/>
      <c r="K538" s="2029" t="str">
        <f t="shared" ref="K538:P538" si="384">IF(OR(K520=0,K529=0),"",K520/K529)</f>
        <v/>
      </c>
      <c r="L538" s="2029">
        <f t="shared" si="384"/>
        <v>0.625</v>
      </c>
      <c r="M538" s="2029">
        <f t="shared" si="384"/>
        <v>0.58333333333333337</v>
      </c>
      <c r="N538" s="2029" t="str">
        <f t="shared" si="384"/>
        <v/>
      </c>
      <c r="O538" s="2029" t="str">
        <f t="shared" si="384"/>
        <v/>
      </c>
      <c r="P538" s="2029">
        <f t="shared" si="384"/>
        <v>0.6</v>
      </c>
      <c r="S538" s="1920"/>
      <c r="T538" s="1920"/>
      <c r="U538" s="1920"/>
      <c r="V538" s="1920"/>
      <c r="W538" s="1920"/>
      <c r="OZ538" s="1296">
        <v>81</v>
      </c>
    </row>
    <row r="539" spans="1:416" ht="15.75" customHeight="1">
      <c r="C539" s="255"/>
      <c r="D539" s="253"/>
      <c r="E539" s="253"/>
      <c r="F539" s="253"/>
      <c r="H539" s="1004" t="s">
        <v>7548</v>
      </c>
      <c r="I539" s="256"/>
      <c r="J539" s="253"/>
      <c r="K539" s="2030" t="str">
        <f>IF(OR(K520=0,P538="",K529=0),"",P538*K529)</f>
        <v/>
      </c>
      <c r="L539" s="2030">
        <f>IF(OR(L520=0,P538="",L529=0),"",P538*L529)</f>
        <v>14.399999999999999</v>
      </c>
      <c r="M539" s="2030">
        <f>IF(OR(M520=0,P538="",M529=0),"",P538*M529)</f>
        <v>21.599999999999998</v>
      </c>
      <c r="N539" s="2030" t="str">
        <f>IF(OR(N520=0,P538="",N529=0),"",P538*N529)</f>
        <v/>
      </c>
      <c r="O539" s="2030" t="str">
        <f>IF(OR(O520=0,P538="",O529=0),"",P538*O529)</f>
        <v/>
      </c>
      <c r="P539" s="2030">
        <f>IF(OR(P538="",P529=0),"",P538*P529)</f>
        <v>36</v>
      </c>
      <c r="S539" s="1920"/>
      <c r="T539" s="1920"/>
      <c r="U539" s="1920"/>
      <c r="V539" s="1920"/>
      <c r="W539" s="1920"/>
      <c r="OZ539" s="1296">
        <v>82</v>
      </c>
    </row>
    <row r="540" spans="1:416" ht="15.75" customHeight="1">
      <c r="C540" s="255"/>
      <c r="D540" s="253"/>
      <c r="E540" s="253"/>
      <c r="F540" s="253"/>
      <c r="G540" s="2011"/>
      <c r="H540" s="1004" t="s">
        <v>7549</v>
      </c>
      <c r="I540" s="256"/>
      <c r="J540" s="253"/>
      <c r="K540" s="2030" t="str">
        <f t="shared" ref="K540:P540" si="385">IF(OR(K539="",K520=0),"", K520-K539)</f>
        <v/>
      </c>
      <c r="L540" s="2030">
        <f t="shared" si="385"/>
        <v>0.60000000000000142</v>
      </c>
      <c r="M540" s="2030">
        <f t="shared" si="385"/>
        <v>-0.59999999999999787</v>
      </c>
      <c r="N540" s="2030" t="str">
        <f t="shared" si="385"/>
        <v/>
      </c>
      <c r="O540" s="2030" t="str">
        <f t="shared" si="385"/>
        <v/>
      </c>
      <c r="P540" s="2030">
        <f t="shared" si="385"/>
        <v>0</v>
      </c>
      <c r="OZ540" s="1296">
        <v>83</v>
      </c>
    </row>
    <row r="541" spans="1:416">
      <c r="C541" s="255" t="s">
        <v>1237</v>
      </c>
      <c r="D541" s="255"/>
      <c r="E541" s="255"/>
      <c r="H541" s="1004" t="s">
        <v>1223</v>
      </c>
      <c r="I541" s="256"/>
      <c r="J541" s="253"/>
      <c r="K541" s="2029" t="str">
        <f t="shared" ref="K541:P541" si="386">IF(OR(K521=0,K529=0),"",K521/K529)</f>
        <v/>
      </c>
      <c r="L541" s="2029">
        <f t="shared" si="386"/>
        <v>0.29166666666666669</v>
      </c>
      <c r="M541" s="2029">
        <f t="shared" si="386"/>
        <v>0.30555555555555558</v>
      </c>
      <c r="N541" s="2029" t="str">
        <f t="shared" si="386"/>
        <v/>
      </c>
      <c r="O541" s="2029" t="str">
        <f t="shared" si="386"/>
        <v/>
      </c>
      <c r="P541" s="2029">
        <f t="shared" si="386"/>
        <v>0.3</v>
      </c>
      <c r="OZ541" s="1771">
        <v>84</v>
      </c>
    </row>
    <row r="542" spans="1:416">
      <c r="C542" s="255"/>
      <c r="D542" s="255"/>
      <c r="E542" s="255"/>
      <c r="H542" s="1004" t="s">
        <v>7548</v>
      </c>
      <c r="I542" s="256"/>
      <c r="J542" s="253"/>
      <c r="K542" s="2030" t="str">
        <f>IF(OR(K521=0,P541="",K529=0),"",P541*K529)</f>
        <v/>
      </c>
      <c r="L542" s="2030">
        <f>IF(OR(L521=0,P541="",L529=0),"",P541*L529)</f>
        <v>7.1999999999999993</v>
      </c>
      <c r="M542" s="2030">
        <f>IF(OR(M521=0,P541="",M529=0),"",P541*M529)</f>
        <v>10.799999999999999</v>
      </c>
      <c r="N542" s="2030" t="str">
        <f>IF(OR(N521=0,P541="",N529=0),"",P541*N529)</f>
        <v/>
      </c>
      <c r="O542" s="2030" t="str">
        <f>IF(OR(O521=0,P541="",O529=0),"",P541*O529)</f>
        <v/>
      </c>
      <c r="P542" s="2030">
        <f>IF(OR(P541="",P529=0),"",P541*P529)</f>
        <v>18</v>
      </c>
      <c r="OZ542" s="1296">
        <v>85</v>
      </c>
    </row>
    <row r="543" spans="1:416">
      <c r="C543" s="255"/>
      <c r="D543" s="255"/>
      <c r="E543" s="255"/>
      <c r="G543" s="2011"/>
      <c r="H543" s="1004" t="s">
        <v>7549</v>
      </c>
      <c r="I543" s="256"/>
      <c r="J543" s="253"/>
      <c r="K543" s="2030" t="str">
        <f t="shared" ref="K543:P543" si="387">IF(OR(K542="",K521=0),"", K521-K542)</f>
        <v/>
      </c>
      <c r="L543" s="2030">
        <f t="shared" si="387"/>
        <v>-0.19999999999999929</v>
      </c>
      <c r="M543" s="2030">
        <f t="shared" si="387"/>
        <v>0.20000000000000107</v>
      </c>
      <c r="N543" s="2030" t="str">
        <f t="shared" si="387"/>
        <v/>
      </c>
      <c r="O543" s="2030" t="str">
        <f t="shared" si="387"/>
        <v/>
      </c>
      <c r="P543" s="2030">
        <f t="shared" si="387"/>
        <v>0</v>
      </c>
      <c r="OZ543" s="1185">
        <v>86</v>
      </c>
    </row>
    <row r="544" spans="1:416">
      <c r="C544" s="255" t="s">
        <v>1237</v>
      </c>
      <c r="D544" s="255"/>
      <c r="E544" s="255"/>
      <c r="H544" s="1004" t="s">
        <v>1224</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7548</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7549</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1237</v>
      </c>
      <c r="H547" s="1004" t="s">
        <v>1225</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c r="C548" s="255"/>
      <c r="H548" s="1004" t="s">
        <v>7548</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c r="C549" s="255"/>
      <c r="G549" s="2011"/>
      <c r="H549" s="1004" t="s">
        <v>7549</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c r="C550" s="255" t="s">
        <v>1237</v>
      </c>
      <c r="H550" s="1004" t="s">
        <v>1226</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7548</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7549</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1238</v>
      </c>
      <c r="D555" s="253"/>
      <c r="E555" s="1004"/>
      <c r="F555" s="253"/>
      <c r="H555" s="1004" t="s">
        <v>1219</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1239</v>
      </c>
      <c r="D556" s="253"/>
      <c r="E556" s="1004"/>
      <c r="F556" s="253"/>
      <c r="H556" s="1004" t="s">
        <v>1221</v>
      </c>
      <c r="I556" s="256"/>
      <c r="K556" s="2020">
        <f>CK511</f>
        <v>0</v>
      </c>
      <c r="L556" s="2020">
        <f>CL511</f>
        <v>2</v>
      </c>
      <c r="M556" s="2020">
        <f>CM511</f>
        <v>4</v>
      </c>
      <c r="N556" s="2020">
        <f>CN511</f>
        <v>0</v>
      </c>
      <c r="O556" s="2020">
        <f>CO511</f>
        <v>0</v>
      </c>
      <c r="P556" s="2020">
        <f t="shared" si="394"/>
        <v>6</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45" customHeight="1">
      <c r="A557" s="2019"/>
      <c r="B557" s="2019"/>
      <c r="C557" s="253"/>
      <c r="D557" s="253"/>
      <c r="E557" s="1004"/>
      <c r="F557" s="253"/>
      <c r="H557" s="1004" t="s">
        <v>1222</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1223</v>
      </c>
      <c r="I558" s="256"/>
      <c r="K558" s="2020">
        <f>CA511</f>
        <v>0</v>
      </c>
      <c r="L558" s="2020">
        <f>CB511</f>
        <v>0</v>
      </c>
      <c r="M558" s="2020">
        <f>CC511</f>
        <v>0</v>
      </c>
      <c r="N558" s="2020">
        <f>CD511</f>
        <v>0</v>
      </c>
      <c r="O558" s="2020">
        <f>CE511</f>
        <v>0</v>
      </c>
      <c r="P558" s="2020">
        <f t="shared" si="394"/>
        <v>0</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1224</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1225</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1226</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287</v>
      </c>
      <c r="I562" s="2006"/>
      <c r="K562" s="2026">
        <f>SUM(K555:K561)</f>
        <v>0</v>
      </c>
      <c r="L562" s="2026">
        <f>SUM(L555:L561)</f>
        <v>2</v>
      </c>
      <c r="M562" s="2026">
        <f>SUM(M555:M561)</f>
        <v>4</v>
      </c>
      <c r="N562" s="2026">
        <f>SUM(N555:N561)</f>
        <v>0</v>
      </c>
      <c r="O562" s="2026">
        <f>SUM(O555:O561)</f>
        <v>0</v>
      </c>
      <c r="P562" s="2026">
        <f t="shared" si="394"/>
        <v>6</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85" customHeight="1">
      <c r="A564" s="255" t="s">
        <v>25</v>
      </c>
      <c r="B564" s="255" t="s">
        <v>7551</v>
      </c>
      <c r="H564" s="254"/>
      <c r="L564" s="1907" t="str">
        <f>O515</f>
        <v>Income Averaging</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1241</v>
      </c>
      <c r="D566" s="1920"/>
      <c r="E566" s="1920"/>
      <c r="F566" s="253"/>
      <c r="H566" s="1004" t="s">
        <v>1219</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1239</v>
      </c>
      <c r="D567" s="1920"/>
      <c r="E567" s="1920"/>
      <c r="F567" s="253"/>
      <c r="H567" s="1004" t="s">
        <v>1221</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1222</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1223</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1224</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1225</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1226</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287</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1242</v>
      </c>
      <c r="D575" s="1920"/>
      <c r="E575" s="1920"/>
      <c r="F575" s="253"/>
      <c r="H575" s="1004" t="s">
        <v>1219</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1239</v>
      </c>
      <c r="D576" s="1920"/>
      <c r="E576" s="1920"/>
      <c r="F576" s="253"/>
      <c r="H576" s="1004" t="s">
        <v>1221</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1222</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1223</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1224</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1225</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1226</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287</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2.95" customHeight="1">
      <c r="A584" s="1097"/>
      <c r="B584" s="1097"/>
      <c r="C584" s="1920" t="s">
        <v>1243</v>
      </c>
      <c r="D584" s="1920"/>
      <c r="E584" s="1004" t="s">
        <v>1244</v>
      </c>
      <c r="F584" s="253"/>
      <c r="H584" s="1004" t="s">
        <v>1245</v>
      </c>
      <c r="I584" s="256"/>
      <c r="K584" s="2020">
        <f>HP511</f>
        <v>0</v>
      </c>
      <c r="L584" s="2020">
        <f>HQ511</f>
        <v>24</v>
      </c>
      <c r="M584" s="2020">
        <f>HR511</f>
        <v>36</v>
      </c>
      <c r="N584" s="2020">
        <f>HS511</f>
        <v>0</v>
      </c>
      <c r="O584" s="2020">
        <f>HT511</f>
        <v>0</v>
      </c>
      <c r="P584" s="2020">
        <f t="shared" ref="P584:P594" si="397">SUM(K584:O584)</f>
        <v>60</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2.95" customHeight="1">
      <c r="A585" s="1097"/>
      <c r="B585" s="1097"/>
      <c r="C585" s="1920"/>
      <c r="D585" s="1920"/>
      <c r="E585" s="1004"/>
      <c r="F585" s="253"/>
      <c r="H585" s="1004" t="s">
        <v>1159</v>
      </c>
      <c r="I585" s="256"/>
      <c r="K585" s="2020">
        <f>HU511</f>
        <v>0</v>
      </c>
      <c r="L585" s="2020">
        <f>HV511</f>
        <v>0</v>
      </c>
      <c r="M585" s="2020">
        <f>HW511</f>
        <v>0</v>
      </c>
      <c r="N585" s="2020">
        <f>HX511</f>
        <v>0</v>
      </c>
      <c r="O585" s="2020">
        <f>HY511</f>
        <v>0</v>
      </c>
      <c r="P585" s="2020">
        <f t="shared" si="397"/>
        <v>0</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1246</v>
      </c>
      <c r="I586" s="1874" t="s">
        <v>1247</v>
      </c>
      <c r="J586" s="2033">
        <f>IF(P529=0,0,P586/P529)</f>
        <v>1</v>
      </c>
      <c r="K586" s="2026">
        <f>SUM(K584:K585)+HZ511</f>
        <v>0</v>
      </c>
      <c r="L586" s="2026">
        <f>SUM(L584:L585)+IA511</f>
        <v>24</v>
      </c>
      <c r="M586" s="2026">
        <f>SUM(M584:M585)+IB511</f>
        <v>36</v>
      </c>
      <c r="N586" s="2026">
        <f>SUM(N584:N585)+IC511</f>
        <v>0</v>
      </c>
      <c r="O586" s="2026">
        <f>SUM(O584:O585)+ID511</f>
        <v>0</v>
      </c>
      <c r="P586" s="2026">
        <f t="shared" si="397"/>
        <v>60</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2.95" customHeight="1">
      <c r="A587" s="1097"/>
      <c r="B587" s="1097"/>
      <c r="C587" s="1920"/>
      <c r="D587" s="1920"/>
      <c r="E587" s="1004" t="s">
        <v>1248</v>
      </c>
      <c r="F587" s="253"/>
      <c r="H587" s="1004" t="s">
        <v>1245</v>
      </c>
      <c r="I587" s="256"/>
      <c r="K587" s="2020">
        <f>IE511</f>
        <v>0</v>
      </c>
      <c r="L587" s="2020">
        <f>IF511</f>
        <v>0</v>
      </c>
      <c r="M587" s="2020">
        <f>IG511</f>
        <v>0</v>
      </c>
      <c r="N587" s="2020">
        <f>IH511</f>
        <v>0</v>
      </c>
      <c r="O587" s="2020">
        <f>II511</f>
        <v>0</v>
      </c>
      <c r="P587" s="2020">
        <f t="shared" si="397"/>
        <v>0</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2.95" customHeight="1">
      <c r="A588" s="1097"/>
      <c r="B588" s="1097"/>
      <c r="C588" s="1920"/>
      <c r="D588" s="1920"/>
      <c r="E588" s="1004"/>
      <c r="F588" s="253"/>
      <c r="H588" s="1004" t="s">
        <v>1159</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1246</v>
      </c>
      <c r="I589" s="1874" t="s">
        <v>1247</v>
      </c>
      <c r="J589" s="2033">
        <f>IF(P529=0,0,P589/P529)</f>
        <v>0</v>
      </c>
      <c r="K589" s="2026">
        <f>SUM(K587:K588)+IO511</f>
        <v>0</v>
      </c>
      <c r="L589" s="2026">
        <f>SUM(L587:L588)+IP511</f>
        <v>0</v>
      </c>
      <c r="M589" s="2026">
        <f>SUM(M587:M588)+IQ511</f>
        <v>0</v>
      </c>
      <c r="N589" s="2026">
        <f>SUM(N587:N588)+IR511</f>
        <v>0</v>
      </c>
      <c r="O589" s="2026">
        <f>SUM(O587:O588)+IS511</f>
        <v>0</v>
      </c>
      <c r="P589" s="2026">
        <f t="shared" si="397"/>
        <v>0</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2.95" customHeight="1">
      <c r="A590" s="1097"/>
      <c r="B590" s="1097"/>
      <c r="C590" s="1869"/>
      <c r="D590" s="253"/>
      <c r="E590" s="1869" t="s">
        <v>1249</v>
      </c>
      <c r="F590" s="1869"/>
      <c r="H590" s="1004" t="s">
        <v>1245</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2.95" customHeight="1">
      <c r="A591" s="1097"/>
      <c r="B591" s="1097"/>
      <c r="C591" s="1869"/>
      <c r="D591" s="253"/>
      <c r="E591" s="1869"/>
      <c r="F591" s="1869"/>
      <c r="H591" s="1004" t="s">
        <v>1159</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1246</v>
      </c>
      <c r="I592" s="1874" t="s">
        <v>1247</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1250</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7552</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1252</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1253</v>
      </c>
      <c r="D598" s="1920"/>
      <c r="E598" s="1004" t="s">
        <v>1254</v>
      </c>
      <c r="F598" s="253"/>
      <c r="G598" s="1820"/>
      <c r="H598" s="254"/>
      <c r="K598" s="2035" t="str">
        <f>'Part V-Revenues &amp; Expenses'!K145</f>
        <v>Yes</v>
      </c>
      <c r="L598" s="253" t="s">
        <v>1255</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t="str">
        <f>'Part V-Revenues &amp; Expenses'!K146</f>
        <v>No</v>
      </c>
      <c r="L599" s="1920" t="s">
        <v>1256</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25</v>
      </c>
      <c r="B602" s="255" t="s">
        <v>7551</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7553</v>
      </c>
      <c r="D603" s="1920"/>
      <c r="E603" s="1004" t="s">
        <v>648</v>
      </c>
      <c r="F603" s="253"/>
      <c r="G603" s="1820"/>
      <c r="H603" s="254"/>
      <c r="K603" s="2026">
        <f t="shared" ref="K603:P603" si="398">SUM(K604:K611)</f>
        <v>0</v>
      </c>
      <c r="L603" s="2026">
        <f t="shared" si="398"/>
        <v>24</v>
      </c>
      <c r="M603" s="2026">
        <f t="shared" si="398"/>
        <v>36</v>
      </c>
      <c r="N603" s="2026">
        <f t="shared" si="398"/>
        <v>0</v>
      </c>
      <c r="O603" s="2026">
        <f t="shared" si="398"/>
        <v>0</v>
      </c>
      <c r="P603" s="2026">
        <f t="shared" si="398"/>
        <v>60</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1258</v>
      </c>
      <c r="I604" s="1286"/>
      <c r="K604" s="2020">
        <f>LB511</f>
        <v>0</v>
      </c>
      <c r="L604" s="2020">
        <f>LC511</f>
        <v>0</v>
      </c>
      <c r="M604" s="2020">
        <f>LD511</f>
        <v>0</v>
      </c>
      <c r="N604" s="2020">
        <f>LE511</f>
        <v>0</v>
      </c>
      <c r="O604" s="2020">
        <f>LF511</f>
        <v>0</v>
      </c>
      <c r="P604" s="2020">
        <f t="shared" ref="P604:P619" si="399">SUM(K604:O604)</f>
        <v>0</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1252</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1259</v>
      </c>
      <c r="I606" s="1286"/>
      <c r="K606" s="2020">
        <f>LG511</f>
        <v>0</v>
      </c>
      <c r="L606" s="2020">
        <f>LH511</f>
        <v>24</v>
      </c>
      <c r="M606" s="2020">
        <f>LI511</f>
        <v>36</v>
      </c>
      <c r="N606" s="2020">
        <f>LJ511</f>
        <v>0</v>
      </c>
      <c r="O606" s="2020">
        <f>LK511</f>
        <v>0</v>
      </c>
      <c r="P606" s="2020">
        <f t="shared" si="399"/>
        <v>60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1252</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1260</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1252</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1261</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1252</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1262</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1252</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650</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1252</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641</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1252</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1263</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1252</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7554</v>
      </c>
      <c r="D622" s="1920"/>
      <c r="E622" s="1004" t="s">
        <v>1265</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1252</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1266</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1252</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1267</v>
      </c>
      <c r="F626" s="1820"/>
      <c r="H626" s="2037"/>
      <c r="I626" s="1286"/>
      <c r="K626" s="2020">
        <f t="shared" ref="K626:O629" si="403">K604+K608</f>
        <v>0</v>
      </c>
      <c r="L626" s="2020">
        <f t="shared" si="403"/>
        <v>0</v>
      </c>
      <c r="M626" s="2020">
        <f t="shared" si="403"/>
        <v>0</v>
      </c>
      <c r="N626" s="2020">
        <f t="shared" si="403"/>
        <v>0</v>
      </c>
      <c r="O626" s="2020">
        <f t="shared" si="403"/>
        <v>0</v>
      </c>
      <c r="P626" s="2026">
        <f t="shared" si="401"/>
        <v>0</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1252</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1268</v>
      </c>
      <c r="F628" s="1820"/>
      <c r="H628" s="2037"/>
      <c r="I628" s="1286"/>
      <c r="K628" s="2020">
        <f t="shared" si="403"/>
        <v>0</v>
      </c>
      <c r="L628" s="2020">
        <f t="shared" si="403"/>
        <v>24</v>
      </c>
      <c r="M628" s="2020">
        <f t="shared" si="403"/>
        <v>36</v>
      </c>
      <c r="N628" s="2020">
        <f t="shared" si="403"/>
        <v>0</v>
      </c>
      <c r="O628" s="2020">
        <f t="shared" si="403"/>
        <v>0</v>
      </c>
      <c r="P628" s="2026">
        <f t="shared" si="401"/>
        <v>60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1252</v>
      </c>
      <c r="I629" s="2039"/>
      <c r="K629" s="2025">
        <f t="shared" si="403"/>
        <v>0</v>
      </c>
      <c r="L629" s="2025">
        <f t="shared" si="403"/>
        <v>0</v>
      </c>
      <c r="M629" s="2025">
        <f t="shared" si="403"/>
        <v>0</v>
      </c>
      <c r="N629" s="2025">
        <f t="shared" si="403"/>
        <v>0</v>
      </c>
      <c r="O629" s="2025">
        <f t="shared" si="403"/>
        <v>0</v>
      </c>
      <c r="P629" s="2040">
        <f t="shared" si="401"/>
        <v>0</v>
      </c>
      <c r="Q629" s="251" t="s">
        <v>7555</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1270</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1271</v>
      </c>
      <c r="D632" s="253"/>
      <c r="E632" s="253"/>
      <c r="F632" s="253"/>
      <c r="H632" s="254" t="s">
        <v>1219</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1221</v>
      </c>
      <c r="I633" s="1286"/>
      <c r="K633" s="2042">
        <f>FW511</f>
        <v>0</v>
      </c>
      <c r="L633" s="2042">
        <f>FX511</f>
        <v>1400</v>
      </c>
      <c r="M633" s="2042">
        <f>FY511</f>
        <v>3824</v>
      </c>
      <c r="N633" s="2042">
        <f>FZ511</f>
        <v>0</v>
      </c>
      <c r="O633" s="2042">
        <f>GA511</f>
        <v>0</v>
      </c>
      <c r="P633" s="2042">
        <f t="shared" si="404"/>
        <v>5224</v>
      </c>
      <c r="Q633" s="2030">
        <f t="shared" si="405"/>
        <v>870.66666666666663</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1222</v>
      </c>
      <c r="I634" s="1286"/>
      <c r="K634" s="2042">
        <f>GB511</f>
        <v>0</v>
      </c>
      <c r="L634" s="2042">
        <f>GC511</f>
        <v>10500</v>
      </c>
      <c r="M634" s="2042">
        <f>GD511</f>
        <v>20076</v>
      </c>
      <c r="N634" s="2042">
        <f>GE511</f>
        <v>0</v>
      </c>
      <c r="O634" s="2042">
        <f>GF511</f>
        <v>0</v>
      </c>
      <c r="P634" s="2042">
        <f t="shared" si="404"/>
        <v>30576</v>
      </c>
      <c r="Q634" s="2030">
        <f t="shared" si="405"/>
        <v>849.33333333333337</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1223</v>
      </c>
      <c r="I635" s="1286"/>
      <c r="K635" s="2042">
        <f>GG511</f>
        <v>0</v>
      </c>
      <c r="L635" s="2042">
        <f>GH511</f>
        <v>4900</v>
      </c>
      <c r="M635" s="2042">
        <f>GI511</f>
        <v>10516</v>
      </c>
      <c r="N635" s="2042">
        <f>GJ511</f>
        <v>0</v>
      </c>
      <c r="O635" s="2042">
        <f>GK511</f>
        <v>0</v>
      </c>
      <c r="P635" s="2042">
        <f t="shared" si="404"/>
        <v>15416</v>
      </c>
      <c r="Q635" s="2030">
        <f t="shared" si="405"/>
        <v>856.44444444444446</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1224</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1225</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1226</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1272</v>
      </c>
      <c r="I639" s="2039"/>
      <c r="J639" s="2022"/>
      <c r="K639" s="2043">
        <f>SUM(K632:K638)</f>
        <v>0</v>
      </c>
      <c r="L639" s="2043">
        <f>SUM(L632:L638)</f>
        <v>16800</v>
      </c>
      <c r="M639" s="2043">
        <f>SUM(M632:M638)</f>
        <v>34416</v>
      </c>
      <c r="N639" s="2043">
        <f>SUM(N632:N638)</f>
        <v>0</v>
      </c>
      <c r="O639" s="2043">
        <f>SUM(O632:O638)</f>
        <v>0</v>
      </c>
      <c r="P639" s="2043">
        <f>SUM(K639:O639)</f>
        <v>51216</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1159</v>
      </c>
      <c r="D640" s="253"/>
      <c r="E640" s="253"/>
      <c r="F640" s="253"/>
      <c r="G640" s="253"/>
      <c r="K640" s="2042">
        <f>HA511</f>
        <v>0</v>
      </c>
      <c r="L640" s="2042">
        <f>HB511</f>
        <v>0</v>
      </c>
      <c r="M640" s="2042">
        <f>HC511</f>
        <v>0</v>
      </c>
      <c r="N640" s="2042">
        <f>HD511</f>
        <v>0</v>
      </c>
      <c r="O640" s="2042">
        <f>HE511</f>
        <v>0</v>
      </c>
      <c r="P640" s="2042">
        <f>SUM(K640:O640)</f>
        <v>0</v>
      </c>
      <c r="Q640" s="2030" t="str">
        <f>IF(OR(P526=0,P526=""),"",P640/P526)</f>
        <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1228</v>
      </c>
      <c r="D641" s="2021"/>
      <c r="E641" s="2021"/>
      <c r="F641" s="2021"/>
      <c r="G641" s="2021"/>
      <c r="H641" s="2022"/>
      <c r="I641" s="2022"/>
      <c r="J641" s="2022"/>
      <c r="K641" s="2045">
        <f>SUM(K639:K640)</f>
        <v>0</v>
      </c>
      <c r="L641" s="2045">
        <f>SUM(L639:L640)</f>
        <v>16800</v>
      </c>
      <c r="M641" s="2045">
        <f>SUM(M639:M640)</f>
        <v>34416</v>
      </c>
      <c r="N641" s="2045">
        <f>SUM(N639:N640)</f>
        <v>0</v>
      </c>
      <c r="O641" s="2045">
        <f>SUM(O639:O640)</f>
        <v>0</v>
      </c>
      <c r="P641" s="2045">
        <f>SUM(K641:O641)</f>
        <v>51216</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1229</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1197</v>
      </c>
      <c r="D643" s="253"/>
      <c r="E643" s="253"/>
      <c r="F643" s="253"/>
      <c r="G643" s="253"/>
      <c r="K643" s="2046">
        <f>SUM(K641:K642)</f>
        <v>0</v>
      </c>
      <c r="L643" s="2046">
        <f>SUM(L641:L642)</f>
        <v>16800</v>
      </c>
      <c r="M643" s="2046">
        <f>SUM(M641:M642)</f>
        <v>34416</v>
      </c>
      <c r="N643" s="2046">
        <f>SUM(N641:N642)</f>
        <v>0</v>
      </c>
      <c r="O643" s="2046">
        <f>SUM(O641:O642)</f>
        <v>0</v>
      </c>
      <c r="P643" s="2046">
        <f>SUM(K643:O643)</f>
        <v>51216</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7556</v>
      </c>
      <c r="K645" s="2047" t="str">
        <f>IF(OR(K529="",K529=0),"",K643/K529)</f>
        <v/>
      </c>
      <c r="L645" s="2047">
        <f>IF(OR(L529="",L529=0),"",L643/L529)</f>
        <v>700</v>
      </c>
      <c r="M645" s="2047">
        <f>IF(OR(M529="",M529=0),"",M643/M529)</f>
        <v>956</v>
      </c>
      <c r="N645" s="2047" t="str">
        <f>IF(OR(N529="",N529=0),"",N643/N529)</f>
        <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31</v>
      </c>
      <c r="B647" s="255" t="s">
        <v>1274</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7557</v>
      </c>
      <c r="I648" s="253" t="s">
        <v>1276</v>
      </c>
      <c r="K648" s="1846">
        <f>'Part V-Revenues &amp; Expenses'!K195</f>
        <v>0</v>
      </c>
      <c r="L648" s="1846"/>
      <c r="Z648" s="1086">
        <v>68</v>
      </c>
      <c r="OZ648" s="1296">
        <v>191</v>
      </c>
    </row>
    <row r="649" spans="1:416" s="1235" customFormat="1" ht="13.5" customHeight="1">
      <c r="A649" s="1816"/>
      <c r="C649" s="255"/>
      <c r="I649" s="253" t="s">
        <v>1277</v>
      </c>
      <c r="K649" s="1846">
        <f>'Part V-Revenues &amp; Expenses'!K196</f>
        <v>16000</v>
      </c>
      <c r="L649" s="1846"/>
      <c r="Z649" s="1086"/>
      <c r="OZ649" s="1771">
        <v>192</v>
      </c>
    </row>
    <row r="650" spans="1:416" s="1235" customFormat="1" ht="13.35" customHeight="1">
      <c r="A650" s="1816"/>
      <c r="C650" s="255" t="s">
        <v>1278</v>
      </c>
      <c r="K650" s="1846">
        <f>P643+K648+K649</f>
        <v>67216</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43</v>
      </c>
      <c r="B652" s="255" t="s">
        <v>7558</v>
      </c>
      <c r="S652" s="255" t="s">
        <v>791</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1280</v>
      </c>
      <c r="C654" s="1004"/>
      <c r="D654" s="1004"/>
      <c r="E654" s="1004"/>
      <c r="F654" s="1004"/>
      <c r="G654" s="1004"/>
      <c r="H654" s="2049">
        <f>'Part V-Revenues &amp; Expenses'!H201</f>
        <v>16133.28</v>
      </c>
      <c r="I654" s="2049"/>
      <c r="J654" s="2037" t="s">
        <v>7559</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1282</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1283</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1284</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435</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1285</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7560</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1287</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435</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7561</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1283</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1289</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1284</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435</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1285</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7560</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1287</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435</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7561</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1283</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1290</v>
      </c>
      <c r="T675" s="253" t="str">
        <f>B675</f>
        <v>Included in Mgt Fee:</v>
      </c>
      <c r="OZ675" s="1296">
        <v>218</v>
      </c>
    </row>
    <row r="676" spans="2:416" ht="15.6" customHeight="1">
      <c r="B676" s="1004" t="s">
        <v>1284</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435</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1285</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7560</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1287</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435</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7561</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1283</v>
      </c>
      <c r="C684" s="254"/>
      <c r="D684" s="254"/>
      <c r="E684" s="254"/>
      <c r="F684" s="254"/>
      <c r="H684" s="2054">
        <v>31</v>
      </c>
      <c r="I684" s="2054">
        <v>32</v>
      </c>
      <c r="J684" s="2054">
        <v>33</v>
      </c>
      <c r="K684" s="2054">
        <v>34</v>
      </c>
      <c r="L684" s="2054">
        <v>35</v>
      </c>
      <c r="M684" s="254"/>
      <c r="N684" s="254"/>
      <c r="O684" s="254"/>
      <c r="P684" s="254"/>
      <c r="Q684" s="254"/>
      <c r="S684" s="2007" t="s">
        <v>1290</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1284</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435</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1285</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7560</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1287</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435</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7561</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57</v>
      </c>
      <c r="B693" s="2060" t="s">
        <v>1291</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791</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1292</v>
      </c>
      <c r="F695" s="251"/>
      <c r="G695" s="251"/>
      <c r="H695" s="2062" t="s">
        <v>679</v>
      </c>
      <c r="I695" s="1184" t="s">
        <v>1293</v>
      </c>
      <c r="N695" s="2062" t="s">
        <v>679</v>
      </c>
      <c r="O695" s="1184" t="s">
        <v>1294</v>
      </c>
      <c r="Q695" s="2063">
        <f>IF(OR('Part VI-Pro Forma'!$B$22 = "Choose Mgt Fee",'Part VI-Pro Forma'!$B$22 = "Choose One!"), 0,- 'Part VI-Pro Forma'!$B$22)</f>
        <v>38260</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1295</v>
      </c>
      <c r="F696" s="2042">
        <f>'Part V-Revenues &amp; Expenses'!F243</f>
        <v>60000</v>
      </c>
      <c r="G696" s="2042"/>
      <c r="H696" s="2064" t="e">
        <f>IF(OR(F696="",F696=0),"",F696/$E$54)</f>
        <v>#DIV/0!</v>
      </c>
      <c r="I696" s="253" t="s">
        <v>1296</v>
      </c>
      <c r="L696" s="2042">
        <f>'Part V-Revenues &amp; Expenses'!L243</f>
        <v>0</v>
      </c>
      <c r="M696" s="2042"/>
      <c r="N696" s="2064" t="str">
        <f>IF(OR(L696="",L696=0),"",L696/$E$54)</f>
        <v/>
      </c>
      <c r="O696" s="2065">
        <f>+Q695/(P529*0.93)</f>
        <v>685.66308243727599</v>
      </c>
      <c r="P696" s="2024" t="s">
        <v>1297</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1298</v>
      </c>
      <c r="F697" s="2042">
        <f>'Part V-Revenues &amp; Expenses'!F244</f>
        <v>30000</v>
      </c>
      <c r="G697" s="2042"/>
      <c r="H697" s="2064" t="e">
        <f t="shared" ref="H697:H702" si="412">IF(OR(F697="",F697=0),"",F697/$E$54)</f>
        <v>#DIV/0!</v>
      </c>
      <c r="I697" s="253" t="s">
        <v>1299</v>
      </c>
      <c r="L697" s="2042">
        <f>'Part V-Revenues &amp; Expenses'!L244</f>
        <v>5000</v>
      </c>
      <c r="M697" s="2042"/>
      <c r="N697" s="2064" t="e">
        <f t="shared" ref="N697:N698" si="413">IF(OR(L697="",L697=0),"",L697/$E$54)</f>
        <v>#DIV/0!</v>
      </c>
      <c r="O697" s="2065">
        <f>+Q695/(P529*0.93)/12</f>
        <v>57.138590203106332</v>
      </c>
      <c r="P697" s="2024" t="s">
        <v>1300</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1301</v>
      </c>
      <c r="F698" s="2042">
        <f>'Part V-Revenues &amp; Expenses'!F245</f>
        <v>0</v>
      </c>
      <c r="G698" s="2042"/>
      <c r="H698" s="2064" t="str">
        <f t="shared" si="412"/>
        <v/>
      </c>
      <c r="K698" s="2066" t="s">
        <v>531</v>
      </c>
      <c r="L698" s="2042">
        <f>SUM(L696:M697)</f>
        <v>5000</v>
      </c>
      <c r="M698" s="2042"/>
      <c r="N698" s="2064" t="e">
        <f t="shared" si="413"/>
        <v>#DIV/0!</v>
      </c>
      <c r="O698" s="256" t="s">
        <v>1302</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1303</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1304</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Other (describe here)</v>
      </c>
      <c r="C701" s="256"/>
      <c r="D701" s="256"/>
      <c r="E701" s="256"/>
      <c r="F701" s="2042">
        <f>'Part V-Revenues &amp; Expenses'!F248</f>
        <v>0</v>
      </c>
      <c r="G701" s="2042"/>
      <c r="H701" s="2064" t="str">
        <f t="shared" si="412"/>
        <v/>
      </c>
      <c r="I701" s="1184" t="s">
        <v>1306</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531</v>
      </c>
      <c r="F702" s="2042">
        <f>SUM(F696:G701)</f>
        <v>90000</v>
      </c>
      <c r="G702" s="2042"/>
      <c r="H702" s="2064" t="e">
        <f t="shared" si="412"/>
        <v>#DIV/0!</v>
      </c>
      <c r="I702" s="253" t="s">
        <v>1307</v>
      </c>
      <c r="L702" s="2042">
        <f>'Part V-Revenues &amp; Expenses'!L249</f>
        <v>1000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606</v>
      </c>
      <c r="L703" s="2042">
        <f>'Part V-Revenues &amp; Expenses'!L250</f>
        <v>10000</v>
      </c>
      <c r="M703" s="2047"/>
      <c r="N703" s="2064" t="e">
        <f t="shared" ref="N703:N706" si="414">IF(OR(L703="",L703=0),"",L703/$E$54)</f>
        <v>#DIV/0!</v>
      </c>
      <c r="O703" s="1184" t="s">
        <v>1308</v>
      </c>
      <c r="Q703" s="2047">
        <f>F702+F711+F722+L698+L706+L716+L722+Q695</f>
        <v>360260</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1309</v>
      </c>
      <c r="D704" s="2035"/>
      <c r="I704" s="253" t="s">
        <v>1310</v>
      </c>
      <c r="L704" s="2042">
        <f>'Part V-Revenues &amp; Expenses'!L251</f>
        <v>1000</v>
      </c>
      <c r="M704" s="2047"/>
      <c r="N704" s="2064" t="e">
        <f t="shared" si="414"/>
        <v>#DIV/0!</v>
      </c>
      <c r="O704" s="2024" t="s">
        <v>1311</v>
      </c>
      <c r="P704" s="2065">
        <f>+Q703/P529</f>
        <v>6004.333333333333</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1312</v>
      </c>
      <c r="OZ704" s="1185">
        <v>247</v>
      </c>
    </row>
    <row r="705" spans="2:416" s="253" customFormat="1" ht="16.5" customHeight="1">
      <c r="B705" s="253" t="s">
        <v>1313</v>
      </c>
      <c r="D705" s="2035"/>
      <c r="F705" s="2042">
        <f>'Part V-Revenues &amp; Expenses'!F252</f>
        <v>1900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1314</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1315</v>
      </c>
      <c r="D706" s="2035"/>
      <c r="F706" s="2042">
        <f>'Part V-Revenues &amp; Expenses'!F253</f>
        <v>4000</v>
      </c>
      <c r="G706" s="2042"/>
      <c r="H706" s="2064" t="e">
        <f t="shared" ref="H706:H711" si="415">IF(OR(F706="",F706=0),"",F706/$E$54)</f>
        <v>#DIV/0!</v>
      </c>
      <c r="I706" s="1184"/>
      <c r="K706" s="2066" t="s">
        <v>531</v>
      </c>
      <c r="L706" s="2047">
        <f>SUM(L702:L705)</f>
        <v>12000</v>
      </c>
      <c r="M706" s="2047"/>
      <c r="N706" s="2064" t="e">
        <f t="shared" si="414"/>
        <v>#DIV/0!</v>
      </c>
      <c r="O706" s="2069" t="s">
        <v>1316</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1317</v>
      </c>
      <c r="D707" s="2035"/>
      <c r="F707" s="2042">
        <f>'Part V-Revenues &amp; Expenses'!F254</f>
        <v>0</v>
      </c>
      <c r="G707" s="2042"/>
      <c r="H707" s="2064" t="str">
        <f t="shared" si="415"/>
        <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1318</v>
      </c>
      <c r="D708" s="2035"/>
      <c r="F708" s="2042">
        <f>'Part V-Revenues &amp; Expenses'!F255</f>
        <v>0</v>
      </c>
      <c r="G708" s="2042"/>
      <c r="H708" s="2064" t="str">
        <f t="shared" si="415"/>
        <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1319</v>
      </c>
      <c r="OZ708" s="1296">
        <v>251</v>
      </c>
    </row>
    <row r="709" spans="2:416" s="253" customFormat="1" ht="16.5" customHeight="1">
      <c r="B709" s="253" t="s">
        <v>1320</v>
      </c>
      <c r="D709" s="2035"/>
      <c r="F709" s="2042">
        <f>'Part V-Revenues &amp; Expenses'!F256</f>
        <v>1000</v>
      </c>
      <c r="G709" s="2042"/>
      <c r="H709" s="2064" t="e">
        <f t="shared" si="415"/>
        <v>#DIV/0!</v>
      </c>
      <c r="I709" s="1184" t="s">
        <v>1321</v>
      </c>
      <c r="K709" s="1086" t="s">
        <v>1322</v>
      </c>
      <c r="O709" s="1184" t="s">
        <v>1323</v>
      </c>
      <c r="P709" s="1184"/>
      <c r="Q709" s="2070">
        <f>'Part V-Revenues &amp; Expenses'!Q256</f>
        <v>18000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Misc. Admin Costs</v>
      </c>
      <c r="C710" s="256"/>
      <c r="D710" s="256"/>
      <c r="E710" s="256"/>
      <c r="F710" s="2042">
        <f>'Part V-Revenues &amp; Expenses'!F257</f>
        <v>8000</v>
      </c>
      <c r="G710" s="2042"/>
      <c r="H710" s="2064" t="e">
        <f t="shared" si="415"/>
        <v>#DIV/0!</v>
      </c>
      <c r="I710" s="253" t="s">
        <v>1324</v>
      </c>
      <c r="K710" s="1929">
        <f>L710/12/P529</f>
        <v>20.833333333333332</v>
      </c>
      <c r="L710" s="2042">
        <f>'Part V-Revenues &amp; Expenses'!L257</f>
        <v>15000</v>
      </c>
      <c r="M710" s="2047"/>
      <c r="N710" s="2064" t="e">
        <f>IF(OR(L710="",L710=0),"",L710/$E$54)</f>
        <v>#DIV/0!</v>
      </c>
      <c r="O710" s="256" t="s">
        <v>1325</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531</v>
      </c>
      <c r="F711" s="2042">
        <f>SUM(F705:G710)</f>
        <v>14900</v>
      </c>
      <c r="G711" s="2042"/>
      <c r="H711" s="2064" t="e">
        <f t="shared" si="415"/>
        <v>#DIV/0!</v>
      </c>
      <c r="I711" s="253" t="s">
        <v>1326</v>
      </c>
      <c r="K711" s="1929">
        <f>L711/12/P529</f>
        <v>0</v>
      </c>
      <c r="L711" s="2042">
        <f>'Part V-Revenues &amp; Expenses'!L258</f>
        <v>0</v>
      </c>
      <c r="M711" s="2047"/>
      <c r="N711" s="2064" t="str">
        <f t="shared" ref="N711:N716" si="416">IF(OR(L711="",L711=0),"",L711/$E$54)</f>
        <v/>
      </c>
      <c r="O711" s="2072" t="s">
        <v>1327</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1328</v>
      </c>
      <c r="K712" s="1929">
        <f>L712/12/P529</f>
        <v>6.9444444444444446</v>
      </c>
      <c r="L712" s="2042">
        <f>'Part V-Revenues &amp; Expenses'!L259</f>
        <v>5000</v>
      </c>
      <c r="M712" s="2047"/>
      <c r="N712" s="2064" t="e">
        <f t="shared" si="416"/>
        <v>#DIV/0!</v>
      </c>
      <c r="O712" s="2073" t="s">
        <v>1329</v>
      </c>
      <c r="P712" s="2074" t="s">
        <v>1330</v>
      </c>
      <c r="Q712" s="2074" t="s">
        <v>1331</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603</v>
      </c>
      <c r="OZ712" s="1185">
        <v>255</v>
      </c>
    </row>
    <row r="713" spans="2:416" s="253" customFormat="1" ht="16.5" customHeight="1">
      <c r="B713" s="1184" t="s">
        <v>1332</v>
      </c>
      <c r="D713" s="2035"/>
      <c r="I713" s="253" t="s">
        <v>1333</v>
      </c>
      <c r="K713" s="1929">
        <f>L713/12/P529</f>
        <v>10.416666666666666</v>
      </c>
      <c r="L713" s="2042">
        <f>'Part V-Revenues &amp; Expenses'!L260</f>
        <v>7500</v>
      </c>
      <c r="M713" s="2047"/>
      <c r="N713" s="2064" t="e">
        <f t="shared" si="416"/>
        <v>#DIV/0!</v>
      </c>
      <c r="O713" s="291" t="s">
        <v>648</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1334</v>
      </c>
      <c r="D714" s="2035"/>
      <c r="F714" s="2042">
        <f>'Part V-Revenues &amp; Expenses'!F261</f>
        <v>6000</v>
      </c>
      <c r="G714" s="2042"/>
      <c r="H714" s="2064" t="e">
        <f>IF(OR(F714="",F714=0),"",F714/$E$54)</f>
        <v>#DIV/0!</v>
      </c>
      <c r="I714" s="253" t="s">
        <v>7562</v>
      </c>
      <c r="K714" s="1929">
        <f>L714/12/P529</f>
        <v>2.7777777777777777</v>
      </c>
      <c r="L714" s="2042">
        <f>'Part V-Revenues &amp; Expenses'!L261</f>
        <v>2000</v>
      </c>
      <c r="M714" s="2047"/>
      <c r="N714" s="2064" t="e">
        <f t="shared" si="416"/>
        <v>#DIV/0!</v>
      </c>
      <c r="O714" s="1820" t="s">
        <v>1336</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1337</v>
      </c>
      <c r="D715" s="2035"/>
      <c r="F715" s="2042">
        <f>'Part V-Revenues &amp; Expenses'!F262</f>
        <v>9000</v>
      </c>
      <c r="G715" s="2042"/>
      <c r="H715" s="2064" t="e">
        <f t="shared" ref="H715:H722" si="417">IF(OR(F715="",F715=0),"",F715/$E$54)</f>
        <v>#DIV/0!</v>
      </c>
      <c r="I715" s="256" t="str">
        <f>'Part V-Revenues &amp; Expenses'!I262</f>
        <v>Other (describe here)</v>
      </c>
      <c r="J715" s="2068"/>
      <c r="K715" s="1929">
        <f>L715/12/P529</f>
        <v>0</v>
      </c>
      <c r="L715" s="2042">
        <f>'Part V-Revenues &amp; Expenses'!L262</f>
        <v>0</v>
      </c>
      <c r="M715" s="2047"/>
      <c r="N715" s="2064" t="str">
        <f t="shared" si="416"/>
        <v/>
      </c>
      <c r="O715" s="1820" t="s">
        <v>1338</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1339</v>
      </c>
      <c r="D716" s="2035"/>
      <c r="F716" s="2042">
        <f>'Part V-Revenues &amp; Expenses'!F263</f>
        <v>16000</v>
      </c>
      <c r="G716" s="2042"/>
      <c r="H716" s="2064" t="e">
        <f t="shared" si="417"/>
        <v>#DIV/0!</v>
      </c>
      <c r="K716" s="2066" t="s">
        <v>531</v>
      </c>
      <c r="L716" s="2047">
        <f>SUM(L710:L715)</f>
        <v>29500</v>
      </c>
      <c r="M716" s="2047"/>
      <c r="N716" s="2064" t="e">
        <f t="shared" si="416"/>
        <v>#DIV/0!</v>
      </c>
      <c r="O716" s="1880" t="s">
        <v>1340</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1341</v>
      </c>
      <c r="D717" s="2035"/>
      <c r="F717" s="2042">
        <f>'Part V-Revenues &amp; Expenses'!F264</f>
        <v>3500</v>
      </c>
      <c r="G717" s="2042"/>
      <c r="H717" s="2064" t="e">
        <f t="shared" si="417"/>
        <v>#DIV/0!</v>
      </c>
      <c r="O717" s="1880" t="s">
        <v>1342</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1343</v>
      </c>
      <c r="OZ717" s="1296">
        <v>260</v>
      </c>
    </row>
    <row r="718" spans="2:416" s="253" customFormat="1" ht="16.5" customHeight="1">
      <c r="B718" s="253" t="s">
        <v>1344</v>
      </c>
      <c r="D718" s="2035"/>
      <c r="F718" s="2042">
        <f>'Part V-Revenues &amp; Expenses'!F265</f>
        <v>1500</v>
      </c>
      <c r="G718" s="2042"/>
      <c r="H718" s="2064" t="e">
        <f t="shared" si="417"/>
        <v>#DIV/0!</v>
      </c>
      <c r="I718" s="1184" t="s">
        <v>1345</v>
      </c>
      <c r="O718" s="2013" t="s">
        <v>1346</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1347</v>
      </c>
      <c r="D719" s="2035"/>
      <c r="F719" s="2042">
        <f>'Part V-Revenues &amp; Expenses'!F266</f>
        <v>6000</v>
      </c>
      <c r="G719" s="2042"/>
      <c r="H719" s="2064" t="e">
        <f t="shared" si="417"/>
        <v>#DIV/0!</v>
      </c>
      <c r="I719" s="253" t="s">
        <v>7563</v>
      </c>
      <c r="L719" s="2042">
        <f>'Part V-Revenues &amp; Expenses'!L266</f>
        <v>88600</v>
      </c>
      <c r="M719" s="2047"/>
      <c r="N719" s="2064" t="e">
        <f t="shared" ref="N719:N722" si="418">IF(OR(L719="",L719=0),"",L719/$E$54)</f>
        <v>#DIV/0!</v>
      </c>
      <c r="O719" s="1184" t="str">
        <f>IF(L719+L720='Part III-A-Uses of Funds'!$G$132,"", CONCATENATE("Real Estate Taxes + Insurance on Development Budget = $:",'Part III-A-Uses of Funds'!$G$132))</f>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1349</v>
      </c>
      <c r="D720" s="2035"/>
      <c r="F720" s="2042">
        <f>'Part V-Revenues &amp; Expenses'!F267</f>
        <v>1000</v>
      </c>
      <c r="G720" s="2042"/>
      <c r="H720" s="2064" t="e">
        <f t="shared" si="417"/>
        <v>#DIV/0!</v>
      </c>
      <c r="I720" s="253" t="s">
        <v>1350</v>
      </c>
      <c r="L720" s="2042">
        <f>'Part V-Revenues &amp; Expenses'!L267</f>
        <v>39000</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0</v>
      </c>
      <c r="G721" s="2042"/>
      <c r="H721" s="2064" t="str">
        <f t="shared" si="417"/>
        <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1351</v>
      </c>
      <c r="OZ721" s="1771">
        <v>264</v>
      </c>
    </row>
    <row r="722" spans="1:416" s="253" customFormat="1" ht="16.5" customHeight="1">
      <c r="B722" s="1184"/>
      <c r="E722" s="2066" t="s">
        <v>531</v>
      </c>
      <c r="F722" s="2042">
        <f>SUM(F714:G721)</f>
        <v>43000</v>
      </c>
      <c r="G722" s="2042"/>
      <c r="H722" s="2064" t="e">
        <f t="shared" si="417"/>
        <v>#DIV/0!</v>
      </c>
      <c r="K722" s="2066" t="s">
        <v>531</v>
      </c>
      <c r="L722" s="2047">
        <f>SUM(L718:L721)</f>
        <v>127600</v>
      </c>
      <c r="M722" s="2047"/>
      <c r="N722" s="2064" t="e">
        <f t="shared" si="418"/>
        <v>#DIV/0!</v>
      </c>
      <c r="O722" s="1184" t="s">
        <v>1352</v>
      </c>
      <c r="Q722" s="2047">
        <f>Q703+Q709</f>
        <v>378260</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1353</v>
      </c>
      <c r="B726" s="1184" t="s">
        <v>1354</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1355</v>
      </c>
      <c r="C728" s="2066"/>
      <c r="F728" s="2047">
        <f>'Part V-Revenues &amp; Expenses'!F275</f>
        <v>0</v>
      </c>
      <c r="G728" s="2047"/>
      <c r="I728" s="2067" t="s">
        <v>1356</v>
      </c>
      <c r="K728" s="2020"/>
      <c r="L728" s="2047">
        <f>'Part V-Revenues &amp; Expenses'!L275</f>
        <v>0</v>
      </c>
      <c r="M728" s="2047"/>
      <c r="O728" s="1184" t="s">
        <v>1357</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1358</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1359</v>
      </c>
      <c r="OZ730" s="1296">
        <v>273</v>
      </c>
    </row>
    <row r="731" spans="1:416" s="253" customFormat="1" ht="16.5" customHeight="1">
      <c r="B731" s="1184"/>
      <c r="C731" s="2066"/>
      <c r="F731" s="2020"/>
      <c r="G731" s="2020"/>
      <c r="I731" s="2077" t="s">
        <v>1360</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1361</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1362</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1363</v>
      </c>
      <c r="B735" s="255" t="s">
        <v>67</v>
      </c>
      <c r="N735" s="255" t="s">
        <v>1364</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1365</v>
      </c>
      <c r="B736" s="1831"/>
      <c r="C736" s="1831"/>
      <c r="D736" s="1831"/>
      <c r="E736" s="1831"/>
      <c r="F736" s="1831"/>
      <c r="G736" s="1831"/>
      <c r="H736" s="1831"/>
      <c r="I736" s="1831"/>
      <c r="J736" s="1831"/>
      <c r="K736" s="1831"/>
      <c r="L736" s="1831"/>
      <c r="M736" s="1831"/>
      <c r="N736" s="1831"/>
      <c r="O736" s="1831"/>
      <c r="P736" s="1831"/>
      <c r="Q736" s="1831"/>
      <c r="R736" s="1957" t="s">
        <v>1366</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Westchester Village II, ,  County</v>
      </c>
      <c r="L740" s="1184"/>
      <c r="M740" s="1184"/>
      <c r="N740" s="1184" t="str">
        <f>A740</f>
        <v>PART SIX - OPERATING PRO FORMA  -  2026-0xx Westchester Village II, ,  County</v>
      </c>
      <c r="O740" s="1184"/>
      <c r="P740" s="1184"/>
    </row>
    <row r="741" spans="1:16">
      <c r="A741" s="255"/>
      <c r="B741" s="255"/>
      <c r="C741" s="255"/>
      <c r="D741" s="255"/>
      <c r="E741" s="255"/>
      <c r="F741" s="255"/>
      <c r="G741" s="255"/>
      <c r="H741" s="255"/>
      <c r="I741" s="255"/>
      <c r="J741" s="255"/>
      <c r="K741" s="255"/>
      <c r="N741" s="255" t="s">
        <v>791</v>
      </c>
      <c r="O741" s="255"/>
    </row>
    <row r="742" spans="1:16" ht="13.5" customHeight="1">
      <c r="A742" s="255" t="s">
        <v>1377</v>
      </c>
      <c r="C742" s="2078" t="str">
        <f>'Part I-Project Identification'!$A$6</f>
        <v>May XX, 2026</v>
      </c>
      <c r="D742" s="255" t="s">
        <v>1378</v>
      </c>
      <c r="E742" s="1979"/>
      <c r="F742" s="1818" t="s">
        <v>7564</v>
      </c>
      <c r="N742" s="255" t="str">
        <f>A742</f>
        <v>I.  OPERATING ASSUMPTIONS</v>
      </c>
      <c r="O742" s="255"/>
    </row>
    <row r="743" spans="1:16">
      <c r="C743" s="1097"/>
    </row>
    <row r="744" spans="1:16" ht="12.75" customHeight="1">
      <c r="A744" s="251" t="s">
        <v>1380</v>
      </c>
      <c r="B744" s="2079">
        <f>'DCA Underwriting Assumptions'!$Q$115</f>
        <v>0.02</v>
      </c>
      <c r="C744" s="1097"/>
      <c r="D744" s="1920" t="s">
        <v>7565</v>
      </c>
      <c r="E744" s="1920"/>
      <c r="F744" s="1920"/>
      <c r="G744" s="2080">
        <f>'Part VI-Pro Forma'!G6</f>
        <v>7500</v>
      </c>
      <c r="H744" s="2081" t="s">
        <v>1382</v>
      </c>
      <c r="K744" s="2082" t="e">
        <f>IF(($B$15+$B$16+$B$17+$B$18)=0,"",B769/($B$15+$B$16+$B$17+$B$18))</f>
        <v>#VALUE!</v>
      </c>
      <c r="N744" s="1920"/>
      <c r="O744" s="1920"/>
    </row>
    <row r="745" spans="1:16">
      <c r="A745" s="251" t="s">
        <v>1383</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1384</v>
      </c>
      <c r="B746" s="2079">
        <f>'DCA Underwriting Assumptions'!$Q$119</f>
        <v>0.03</v>
      </c>
      <c r="C746" s="1097"/>
      <c r="D746" s="253" t="s">
        <v>1385</v>
      </c>
      <c r="G746" s="2084"/>
      <c r="H746" s="2081" t="s">
        <v>1386</v>
      </c>
      <c r="K746" s="2082" t="e">
        <f>IF(($B$15+$B$16+$B$17+$B$18)=0,"",-B760/($B$15+$B$16+$B$17+$B$18))</f>
        <v>#VALUE!</v>
      </c>
      <c r="N746" s="1920"/>
      <c r="O746" s="1920"/>
    </row>
    <row r="747" spans="1:16">
      <c r="A747" s="251" t="s">
        <v>1387</v>
      </c>
      <c r="B747" s="2079">
        <f>'Part VI-Pro Forma'!B9</f>
        <v>7.0000000000000007E-2</v>
      </c>
      <c r="C747" s="1815" t="str">
        <f>IF(B747&lt;0.07, "Must be &gt;= 7%!","")</f>
        <v/>
      </c>
      <c r="D747" s="253" t="s">
        <v>1388</v>
      </c>
      <c r="G747" s="2085">
        <f>'Part VI-Pro Forma'!G9</f>
        <v>0</v>
      </c>
      <c r="H747" s="2086" t="s">
        <v>1389</v>
      </c>
      <c r="K747" s="2087">
        <f>'Part VI-Pro Forma'!K9</f>
        <v>0</v>
      </c>
      <c r="N747" s="1920"/>
      <c r="O747" s="1920"/>
    </row>
    <row r="748" spans="1:16">
      <c r="A748" s="251" t="s">
        <v>1390</v>
      </c>
      <c r="B748" s="2079">
        <v>0.02</v>
      </c>
      <c r="D748" s="253" t="s">
        <v>1391</v>
      </c>
      <c r="G748" s="2085" t="str">
        <f>'Part VI-Pro Forma'!G10</f>
        <v>Yes</v>
      </c>
      <c r="H748" s="2086" t="s">
        <v>1392</v>
      </c>
      <c r="K748" s="2088">
        <f>'Part VI-Pro Forma'!K10</f>
        <v>0.05</v>
      </c>
      <c r="N748" s="1920"/>
      <c r="O748" s="1920"/>
    </row>
    <row r="750" spans="1:16">
      <c r="A750" s="255" t="s">
        <v>1393</v>
      </c>
      <c r="D750" s="2060"/>
      <c r="N750" s="255" t="str">
        <f>A750</f>
        <v>II.  OPERATING PRO FORMA</v>
      </c>
    </row>
    <row r="752" spans="1:16">
      <c r="A752" s="255" t="s">
        <v>479</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1394</v>
      </c>
      <c r="O752" s="255"/>
    </row>
    <row r="753" spans="1:19" ht="12.75" customHeight="1">
      <c r="A753" s="251" t="s">
        <v>1395</v>
      </c>
      <c r="B753" s="2089">
        <f>'Part VI-Pro Forma'!B15</f>
        <v>806664</v>
      </c>
      <c r="C753" s="2089">
        <f>'Part VI-Pro Forma'!C15</f>
        <v>822797.28</v>
      </c>
      <c r="D753" s="2089">
        <f>'Part VI-Pro Forma'!D15</f>
        <v>839253.22560000001</v>
      </c>
      <c r="E753" s="2089">
        <f>'Part VI-Pro Forma'!E15</f>
        <v>856038.29011199996</v>
      </c>
      <c r="F753" s="2089">
        <f>'Part VI-Pro Forma'!F15</f>
        <v>873159.05591423996</v>
      </c>
      <c r="G753" s="2089">
        <f>'Part VI-Pro Forma'!G15</f>
        <v>890622.23703252478</v>
      </c>
      <c r="H753" s="2089">
        <f>'Part VI-Pro Forma'!H15</f>
        <v>908434.68177317537</v>
      </c>
      <c r="I753" s="2089">
        <f>'Part VI-Pro Forma'!I15</f>
        <v>926603.37540863862</v>
      </c>
      <c r="J753" s="2089">
        <f>'Part VI-Pro Forma'!J15</f>
        <v>945135.44291681156</v>
      </c>
      <c r="K753" s="2089">
        <f>'Part VI-Pro Forma'!K15</f>
        <v>964038.15177514777</v>
      </c>
      <c r="N753" s="1920"/>
      <c r="O753" s="1920"/>
      <c r="S753" s="254" t="s">
        <v>1396</v>
      </c>
    </row>
    <row r="754" spans="1:19">
      <c r="A754" s="251" t="s">
        <v>1280</v>
      </c>
      <c r="B754" s="2089">
        <f>'Part VI-Pro Forma'!B16</f>
        <v>16133.28</v>
      </c>
      <c r="C754" s="2089">
        <f>'Part VI-Pro Forma'!C16</f>
        <v>16455.945600000003</v>
      </c>
      <c r="D754" s="2089">
        <f>'Part VI-Pro Forma'!D16</f>
        <v>16785.064512000001</v>
      </c>
      <c r="E754" s="2089">
        <f>'Part VI-Pro Forma'!E16</f>
        <v>17120.765802239999</v>
      </c>
      <c r="F754" s="2089">
        <f>'Part VI-Pro Forma'!F16</f>
        <v>17463.1811182848</v>
      </c>
      <c r="G754" s="2089">
        <f>'Part VI-Pro Forma'!G16</f>
        <v>17812.444740650499</v>
      </c>
      <c r="H754" s="2089">
        <f>'Part VI-Pro Forma'!H16</f>
        <v>18168.693635463507</v>
      </c>
      <c r="I754" s="2089">
        <f>'Part VI-Pro Forma'!I16</f>
        <v>18532.067508172775</v>
      </c>
      <c r="J754" s="2089">
        <f>'Part VI-Pro Forma'!J16</f>
        <v>18902.708858336231</v>
      </c>
      <c r="K754" s="2089">
        <f>'Part VI-Pro Forma'!K16</f>
        <v>19280.763035502954</v>
      </c>
      <c r="N754" s="1920"/>
      <c r="O754" s="1920"/>
      <c r="S754" s="254"/>
    </row>
    <row r="755" spans="1:19" ht="12.75" customHeight="1">
      <c r="A755" s="251" t="s">
        <v>1398</v>
      </c>
      <c r="B755" s="2089">
        <f>'Part VI-Pro Forma'!B17</f>
        <v>-57595.809600000008</v>
      </c>
      <c r="C755" s="2089">
        <f>'Part VI-Pro Forma'!C17</f>
        <v>-58747.725792000005</v>
      </c>
      <c r="D755" s="2089">
        <f>'Part VI-Pro Forma'!D17</f>
        <v>-59922.680307840004</v>
      </c>
      <c r="E755" s="2089">
        <f>'Part VI-Pro Forma'!E17</f>
        <v>-61121.133913996804</v>
      </c>
      <c r="F755" s="2089">
        <f>'Part VI-Pro Forma'!F17</f>
        <v>-62343.556592276742</v>
      </c>
      <c r="G755" s="2089">
        <f>'Part VI-Pro Forma'!G17</f>
        <v>-63590.427724122274</v>
      </c>
      <c r="H755" s="2089">
        <f>'Part VI-Pro Forma'!H17</f>
        <v>-64862.236278604723</v>
      </c>
      <c r="I755" s="2089">
        <f>'Part VI-Pro Forma'!I17</f>
        <v>-66159.481004176807</v>
      </c>
      <c r="J755" s="2089">
        <f>'Part VI-Pro Forma'!J17</f>
        <v>-67482.670624260354</v>
      </c>
      <c r="K755" s="2089">
        <f>'Part VI-Pro Forma'!K17</f>
        <v>-68832.324036745558</v>
      </c>
      <c r="N755" s="1920"/>
      <c r="O755" s="1920"/>
      <c r="Q755" s="254" t="s">
        <v>1399</v>
      </c>
      <c r="R755" s="254" t="s">
        <v>1400</v>
      </c>
      <c r="S755" s="254"/>
    </row>
    <row r="756" spans="1:19">
      <c r="A756" s="251" t="s">
        <v>1401</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1402</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1403</v>
      </c>
      <c r="B758" s="2089">
        <f>'Part VI-Pro Forma'!B20</f>
        <v>765201.47039999999</v>
      </c>
      <c r="C758" s="2089">
        <f>'Part VI-Pro Forma'!C20</f>
        <v>780505.49980800005</v>
      </c>
      <c r="D758" s="2089">
        <f>'Part VI-Pro Forma'!D20</f>
        <v>796115.60980415996</v>
      </c>
      <c r="E758" s="2089">
        <f>'Part VI-Pro Forma'!E20</f>
        <v>812037.9220002431</v>
      </c>
      <c r="F758" s="2089">
        <f>'Part VI-Pro Forma'!F20</f>
        <v>828278.68044024799</v>
      </c>
      <c r="G758" s="2089">
        <f>'Part VI-Pro Forma'!G20</f>
        <v>844844.25404905295</v>
      </c>
      <c r="H758" s="2089">
        <f>'Part VI-Pro Forma'!H20</f>
        <v>861741.13913003413</v>
      </c>
      <c r="I758" s="2089">
        <f>'Part VI-Pro Forma'!I20</f>
        <v>878975.96191263467</v>
      </c>
      <c r="J758" s="2089">
        <f>'Part VI-Pro Forma'!J20</f>
        <v>896555.48115088744</v>
      </c>
      <c r="K758" s="2089">
        <f>'Part VI-Pro Forma'!K20</f>
        <v>914486.59077390516</v>
      </c>
      <c r="N758" s="1920"/>
      <c r="O758" s="1920"/>
    </row>
    <row r="759" spans="1:19">
      <c r="A759" s="251" t="s">
        <v>1404</v>
      </c>
      <c r="B759" s="2089">
        <f>'Part VI-Pro Forma'!B21</f>
        <v>-322000</v>
      </c>
      <c r="C759" s="2089">
        <f>'Part VI-Pro Forma'!C21</f>
        <v>-331660</v>
      </c>
      <c r="D759" s="2089">
        <f>'Part VI-Pro Forma'!D21</f>
        <v>-341609.8</v>
      </c>
      <c r="E759" s="2089">
        <f>'Part VI-Pro Forma'!E21</f>
        <v>-351858.09399999998</v>
      </c>
      <c r="F759" s="2089">
        <f>'Part VI-Pro Forma'!F21</f>
        <v>-362413.83681999997</v>
      </c>
      <c r="G759" s="2089">
        <f>'Part VI-Pro Forma'!G21</f>
        <v>-373286.25192459993</v>
      </c>
      <c r="H759" s="2089">
        <f>'Part VI-Pro Forma'!H21</f>
        <v>-384484.83948233799</v>
      </c>
      <c r="I759" s="2089">
        <f>'Part VI-Pro Forma'!I21</f>
        <v>-396019.38466680812</v>
      </c>
      <c r="J759" s="2089">
        <f>'Part VI-Pro Forma'!J21</f>
        <v>-407899.96620681236</v>
      </c>
      <c r="K759" s="2089">
        <f>'Part VI-Pro Forma'!K21</f>
        <v>-420136.96519301669</v>
      </c>
      <c r="N759" s="1920"/>
      <c r="O759" s="1920"/>
      <c r="Q759" s="1185">
        <v>1</v>
      </c>
      <c r="R759" s="1297">
        <f>-B770</f>
        <v>31503</v>
      </c>
      <c r="S759" s="1297">
        <f>B771+R759</f>
        <v>60884.853417521925</v>
      </c>
    </row>
    <row r="760" spans="1:19">
      <c r="A760" s="251" t="s">
        <v>1405</v>
      </c>
      <c r="B760" s="2089">
        <f>'Part VI-Pro Forma'!B22</f>
        <v>-38260</v>
      </c>
      <c r="C760" s="2089">
        <f>'Part VI-Pro Forma'!C22</f>
        <v>-39025</v>
      </c>
      <c r="D760" s="2089">
        <f>'Part VI-Pro Forma'!D22</f>
        <v>-39806</v>
      </c>
      <c r="E760" s="2089">
        <f>'Part VI-Pro Forma'!E22</f>
        <v>-40602</v>
      </c>
      <c r="F760" s="2089">
        <f>'Part VI-Pro Forma'!F22</f>
        <v>-41414</v>
      </c>
      <c r="G760" s="2089">
        <f>'Part VI-Pro Forma'!G22</f>
        <v>-42242</v>
      </c>
      <c r="H760" s="2089">
        <f>'Part VI-Pro Forma'!H22</f>
        <v>-43087</v>
      </c>
      <c r="I760" s="2089">
        <f>'Part VI-Pro Forma'!I22</f>
        <v>-43949</v>
      </c>
      <c r="J760" s="2089">
        <f>'Part VI-Pro Forma'!J22</f>
        <v>-44828</v>
      </c>
      <c r="K760" s="2089">
        <f>'Part VI-Pro Forma'!K22</f>
        <v>-45724</v>
      </c>
      <c r="N760" s="1920"/>
      <c r="O760" s="1920"/>
      <c r="Q760" s="1185">
        <v>2</v>
      </c>
      <c r="R760" s="1297">
        <f>-SUM(B770:C770)</f>
        <v>31503</v>
      </c>
      <c r="S760" s="1297">
        <f>SUM(B771:C771)+R760</f>
        <v>125883.73624304391</v>
      </c>
    </row>
    <row r="761" spans="1:19">
      <c r="A761" s="251" t="s">
        <v>1406</v>
      </c>
      <c r="B761" s="2089">
        <f>'Part VI-Pro Forma'!B23</f>
        <v>-18000</v>
      </c>
      <c r="C761" s="2089">
        <f>'Part VI-Pro Forma'!C23</f>
        <v>-18540</v>
      </c>
      <c r="D761" s="2089">
        <f>'Part VI-Pro Forma'!D23</f>
        <v>-19096.2</v>
      </c>
      <c r="E761" s="2089">
        <f>'Part VI-Pro Forma'!E23</f>
        <v>-19669.085999999999</v>
      </c>
      <c r="F761" s="2089">
        <f>'Part VI-Pro Forma'!F23</f>
        <v>-20259.158579999999</v>
      </c>
      <c r="G761" s="2089">
        <f>'Part VI-Pro Forma'!G23</f>
        <v>-20866.933337399998</v>
      </c>
      <c r="H761" s="2089">
        <f>'Part VI-Pro Forma'!H23</f>
        <v>-21492.941337521999</v>
      </c>
      <c r="I761" s="2089">
        <f>'Part VI-Pro Forma'!I23</f>
        <v>-22137.72957764766</v>
      </c>
      <c r="J761" s="2089">
        <f>'Part VI-Pro Forma'!J23</f>
        <v>-22801.861464977086</v>
      </c>
      <c r="K761" s="2089">
        <f>'Part VI-Pro Forma'!K23</f>
        <v>-23485.9173089264</v>
      </c>
      <c r="N761" s="1920"/>
      <c r="O761" s="1920"/>
      <c r="Q761" s="1185">
        <v>3</v>
      </c>
      <c r="R761" s="1297">
        <f>-SUM(B770:D770)</f>
        <v>31503</v>
      </c>
      <c r="S761" s="1297">
        <f>SUM(B771:D771)+R761</f>
        <v>194973.97906472581</v>
      </c>
    </row>
    <row r="762" spans="1:19">
      <c r="A762" s="251" t="s">
        <v>1407</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31503</v>
      </c>
      <c r="S762" s="1297">
        <f>SUM(B771:E771)+R762</f>
        <v>268130.65158249083</v>
      </c>
    </row>
    <row r="763" spans="1:19">
      <c r="A763" s="251" t="s">
        <v>1408</v>
      </c>
      <c r="B763" s="2089">
        <f>SUM(B758:B762)</f>
        <v>386941.47039999999</v>
      </c>
      <c r="C763" s="2089">
        <f t="shared" ref="C763:J763" si="420">SUM(C758:C762)</f>
        <v>391280.49980800005</v>
      </c>
      <c r="D763" s="2089">
        <f t="shared" si="420"/>
        <v>395603.60980415996</v>
      </c>
      <c r="E763" s="2089">
        <f t="shared" si="420"/>
        <v>399908.7420002431</v>
      </c>
      <c r="F763" s="2089">
        <f t="shared" si="420"/>
        <v>404191.68504024803</v>
      </c>
      <c r="G763" s="2089">
        <f t="shared" si="420"/>
        <v>408449.06878705299</v>
      </c>
      <c r="H763" s="2089">
        <f t="shared" si="420"/>
        <v>412676.35831017414</v>
      </c>
      <c r="I763" s="2089">
        <f t="shared" si="420"/>
        <v>416869.8476681789</v>
      </c>
      <c r="J763" s="2089">
        <f t="shared" si="420"/>
        <v>421025.65347909799</v>
      </c>
      <c r="K763" s="2089">
        <f>SUM(K758:K762)</f>
        <v>425139.70827196207</v>
      </c>
      <c r="N763" s="1920"/>
      <c r="O763" s="1920"/>
      <c r="Q763" s="1185">
        <v>5</v>
      </c>
      <c r="R763" s="1297">
        <f>-SUM(B770:F770)</f>
        <v>31503</v>
      </c>
      <c r="S763" s="1297">
        <f>SUM(B771:F771)+R763</f>
        <v>345324.40356526081</v>
      </c>
    </row>
    <row r="764" spans="1:19">
      <c r="A764" s="251" t="s">
        <v>397</v>
      </c>
      <c r="B764" s="2089">
        <f>'Part VI-Pro Forma'!B26</f>
        <v>-318556.61698247807</v>
      </c>
      <c r="C764" s="2089">
        <f>'Part VI-Pro Forma'!C26</f>
        <v>-318556.61698247807</v>
      </c>
      <c r="D764" s="2089">
        <f>'Part VI-Pro Forma'!D26</f>
        <v>-318556.61698247807</v>
      </c>
      <c r="E764" s="2089">
        <f>'Part VI-Pro Forma'!E26</f>
        <v>-318556.61698247807</v>
      </c>
      <c r="F764" s="2089">
        <f>'Part VI-Pro Forma'!F26</f>
        <v>-318556.61698247807</v>
      </c>
      <c r="G764" s="2089">
        <f>'Part VI-Pro Forma'!G26</f>
        <v>-318556.61698247807</v>
      </c>
      <c r="H764" s="2089">
        <f>'Part VI-Pro Forma'!H26</f>
        <v>-318556.61698247807</v>
      </c>
      <c r="I764" s="2089">
        <f>'Part VI-Pro Forma'!I26</f>
        <v>-318556.61698247807</v>
      </c>
      <c r="J764" s="2089">
        <f>'Part VI-Pro Forma'!J26</f>
        <v>-318556.61698247807</v>
      </c>
      <c r="K764" s="2089">
        <f>'Part VI-Pro Forma'!K26</f>
        <v>-318556.61698247807</v>
      </c>
      <c r="N764" s="1920"/>
      <c r="O764" s="1920"/>
      <c r="Q764" s="1185">
        <v>6</v>
      </c>
      <c r="R764" s="1297">
        <f>-SUM(B770:G770)</f>
        <v>31503</v>
      </c>
      <c r="S764" s="1297">
        <f>SUM(B771:G771)+R764</f>
        <v>426522.29981258576</v>
      </c>
    </row>
    <row r="765" spans="1:19">
      <c r="A765" s="251" t="s">
        <v>399</v>
      </c>
      <c r="B765" s="2089">
        <f>'Part VI-Pro Forma'!B27</f>
        <v>0</v>
      </c>
      <c r="C765" s="2089">
        <f>'Part VI-Pro Forma'!C27</f>
        <v>0</v>
      </c>
      <c r="D765" s="2089">
        <f>'Part VI-Pro Forma'!D27</f>
        <v>0</v>
      </c>
      <c r="E765" s="2089">
        <f>'Part VI-Pro Forma'!E27</f>
        <v>0</v>
      </c>
      <c r="F765" s="2089">
        <f>'Part VI-Pro Forma'!F27</f>
        <v>0</v>
      </c>
      <c r="G765" s="2089">
        <f>'Part VI-Pro Forma'!G27</f>
        <v>0</v>
      </c>
      <c r="H765" s="2089">
        <f>'Part VI-Pro Forma'!H27</f>
        <v>0</v>
      </c>
      <c r="I765" s="2089">
        <f>'Part VI-Pro Forma'!I27</f>
        <v>0</v>
      </c>
      <c r="J765" s="2089">
        <f>'Part VI-Pro Forma'!J27</f>
        <v>0</v>
      </c>
      <c r="K765" s="2089">
        <f>'Part VI-Pro Forma'!K27</f>
        <v>0</v>
      </c>
      <c r="N765" s="1920"/>
      <c r="O765" s="1920"/>
      <c r="Q765" s="1185">
        <v>7</v>
      </c>
      <c r="R765" s="1297">
        <f>-SUM(B770:H770)</f>
        <v>31503</v>
      </c>
      <c r="S765" s="1297">
        <f>SUM(B771:H771)+R765</f>
        <v>511686.64891631436</v>
      </c>
    </row>
    <row r="766" spans="1:19">
      <c r="A766" s="251" t="s">
        <v>401</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31503</v>
      </c>
      <c r="S766" s="1297">
        <f>SUM(B771:I771)+R766</f>
        <v>600775.82561132871</v>
      </c>
    </row>
    <row r="767" spans="1:19">
      <c r="A767" s="251" t="s">
        <v>1409</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31503</v>
      </c>
      <c r="S767" s="1297">
        <f>SUM(B771:J771)+R767</f>
        <v>693744.08649754152</v>
      </c>
    </row>
    <row r="768" spans="1:19">
      <c r="A768" s="251" t="s">
        <v>1410</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31503</v>
      </c>
      <c r="S768" s="1297">
        <f>SUM(B771:K771)+R768</f>
        <v>790541.37890830613</v>
      </c>
    </row>
    <row r="769" spans="1:19">
      <c r="A769" s="251" t="s">
        <v>1411</v>
      </c>
      <c r="B769" s="2089">
        <f>'Part VI-Pro Forma'!B31</f>
        <v>-7500</v>
      </c>
      <c r="C769" s="2089">
        <f>'Part VI-Pro Forma'!C31</f>
        <v>-7725</v>
      </c>
      <c r="D769" s="2089">
        <f>'Part VI-Pro Forma'!D31</f>
        <v>-7956.75</v>
      </c>
      <c r="E769" s="2089">
        <f>'Part VI-Pro Forma'!E31</f>
        <v>-8195.4524999999994</v>
      </c>
      <c r="F769" s="2089">
        <f>'Part VI-Pro Forma'!F31</f>
        <v>-8441.3160749999988</v>
      </c>
      <c r="G769" s="2089">
        <f>'Part VI-Pro Forma'!G31</f>
        <v>-8694.5555572499998</v>
      </c>
      <c r="H769" s="2089">
        <f>'Part VI-Pro Forma'!H31</f>
        <v>-8955.3922239674994</v>
      </c>
      <c r="I769" s="2089">
        <f>'Part VI-Pro Forma'!I31</f>
        <v>-9224.0539906865251</v>
      </c>
      <c r="J769" s="2089">
        <f>'Part VI-Pro Forma'!J31</f>
        <v>-9500.7756104071213</v>
      </c>
      <c r="K769" s="2089">
        <f>'Part VI-Pro Forma'!K31</f>
        <v>-9785.7988787193353</v>
      </c>
      <c r="N769" s="1920"/>
      <c r="O769" s="1920"/>
      <c r="Q769" s="1185">
        <v>11</v>
      </c>
      <c r="R769" s="1297">
        <f>-SUM(B770:K770)-B802</f>
        <v>31503</v>
      </c>
      <c r="S769" s="1297">
        <f>SUM(B771:K771)+B803+R769</f>
        <v>891111.1426931289</v>
      </c>
    </row>
    <row r="770" spans="1:19">
      <c r="A770" s="251" t="s">
        <v>1412</v>
      </c>
      <c r="B770" s="2089">
        <f>'Part VI-Pro Forma'!B32</f>
        <v>-31503</v>
      </c>
      <c r="C770" s="2089">
        <f>'Part VI-Pro Forma'!C32</f>
        <v>0</v>
      </c>
      <c r="D770" s="2089">
        <f>'Part VI-Pro Forma'!D32</f>
        <v>0</v>
      </c>
      <c r="E770" s="2089">
        <f>'Part VI-Pro Forma'!E32</f>
        <v>0</v>
      </c>
      <c r="F770" s="2089">
        <f>'Part VI-Pro Forma'!F32</f>
        <v>0</v>
      </c>
      <c r="G770" s="2089">
        <f>'Part VI-Pro Forma'!G32</f>
        <v>0</v>
      </c>
      <c r="H770" s="2089">
        <f>'Part VI-Pro Forma'!H32</f>
        <v>0</v>
      </c>
      <c r="I770" s="2089">
        <f>'Part VI-Pro Forma'!I32</f>
        <v>0</v>
      </c>
      <c r="J770" s="2089">
        <f>'Part VI-Pro Forma'!J32</f>
        <v>0</v>
      </c>
      <c r="K770" s="2089">
        <f>'Part VI-Pro Forma'!K32</f>
        <v>0</v>
      </c>
      <c r="N770" s="1920"/>
      <c r="O770" s="1920"/>
      <c r="Q770" s="1185">
        <v>12</v>
      </c>
      <c r="R770" s="1297">
        <f>-SUM(B770:K770) - SUM(B802:C802)</f>
        <v>31503</v>
      </c>
      <c r="S770" s="1297">
        <f>SUM(B771:K771) + SUM(B803:C803)+R770</f>
        <v>995393.1046750769</v>
      </c>
    </row>
    <row r="771" spans="1:19">
      <c r="A771" s="251" t="s">
        <v>1413</v>
      </c>
      <c r="B771" s="2089">
        <f t="shared" ref="B771:K771" si="421">SUM(B763:B770)</f>
        <v>29381.853417521925</v>
      </c>
      <c r="C771" s="2089">
        <f t="shared" si="421"/>
        <v>64998.882825521985</v>
      </c>
      <c r="D771" s="2089">
        <f t="shared" si="421"/>
        <v>69090.242821681895</v>
      </c>
      <c r="E771" s="2089">
        <f t="shared" si="421"/>
        <v>73156.672517765037</v>
      </c>
      <c r="F771" s="2089">
        <f t="shared" si="421"/>
        <v>77193.751982769973</v>
      </c>
      <c r="G771" s="2089">
        <f t="shared" si="421"/>
        <v>81197.896247324927</v>
      </c>
      <c r="H771" s="2089">
        <f t="shared" si="421"/>
        <v>85164.349103728571</v>
      </c>
      <c r="I771" s="2089">
        <f t="shared" si="421"/>
        <v>89089.176695014306</v>
      </c>
      <c r="J771" s="2089">
        <f t="shared" si="421"/>
        <v>92968.260886212811</v>
      </c>
      <c r="K771" s="2089">
        <f t="shared" si="421"/>
        <v>96797.292410764669</v>
      </c>
      <c r="N771" s="1920"/>
      <c r="O771" s="1920"/>
      <c r="Q771" s="1185">
        <v>13</v>
      </c>
      <c r="R771" s="1297">
        <f>-SUM(B770:K770) - SUM(B802:D802)</f>
        <v>31503</v>
      </c>
      <c r="S771" s="1297">
        <f>SUM(B771:K771) + SUM(B803:D803)+R771</f>
        <v>1103322.0655355463</v>
      </c>
    </row>
    <row r="772" spans="1:19">
      <c r="A772" s="251" t="str">
        <f>IF('Part II-Sources of Funds'!$E$42 = "Neither", "", "DCR Mortgage A")</f>
        <v>DCR Mortgage A</v>
      </c>
      <c r="B772" s="2090">
        <f t="shared" ref="B772:K772" si="422">IF(B764=0,"",-B763/B764)</f>
        <v>1.2146709557167459</v>
      </c>
      <c r="C772" s="2090">
        <f t="shared" si="422"/>
        <v>1.228291860688369</v>
      </c>
      <c r="D772" s="2090">
        <f t="shared" si="422"/>
        <v>1.2418627920886032</v>
      </c>
      <c r="E772" s="2090">
        <f t="shared" si="422"/>
        <v>1.255377288308658</v>
      </c>
      <c r="F772" s="2090">
        <f t="shared" si="422"/>
        <v>1.2688221292307365</v>
      </c>
      <c r="G772" s="2090">
        <f t="shared" si="422"/>
        <v>1.2821867354571994</v>
      </c>
      <c r="H772" s="2090">
        <f t="shared" si="422"/>
        <v>1.2954568711183703</v>
      </c>
      <c r="I772" s="2090">
        <f t="shared" si="422"/>
        <v>1.3086209026733495</v>
      </c>
      <c r="J772" s="2090">
        <f t="shared" si="422"/>
        <v>1.3216666395671077</v>
      </c>
      <c r="K772" s="2090">
        <f t="shared" si="422"/>
        <v>1.3345813133598996</v>
      </c>
      <c r="N772" s="1920"/>
      <c r="O772" s="1920"/>
      <c r="Q772" s="1185">
        <v>14</v>
      </c>
      <c r="R772" s="1297">
        <f>-SUM(B770:K770) - SUM(B802:E802)</f>
        <v>31503</v>
      </c>
      <c r="S772" s="1297">
        <f>SUM(B771:K771) + SUM(B803:E803)+R772</f>
        <v>1214826.678871084</v>
      </c>
    </row>
    <row r="773" spans="1:19">
      <c r="A773" s="251" t="str">
        <f>IF('Part II-Sources of Funds'!$E$42 = "Neither", "", "DCR Mortgage B")</f>
        <v>DCR Mortgage B</v>
      </c>
      <c r="B773" s="2090" t="str">
        <f t="shared" ref="B773:K773" si="423">IF(B765=0,"",-(B763+B764)/B765)</f>
        <v/>
      </c>
      <c r="C773" s="2090" t="str">
        <f t="shared" si="423"/>
        <v/>
      </c>
      <c r="D773" s="2090" t="str">
        <f t="shared" si="423"/>
        <v/>
      </c>
      <c r="E773" s="2090" t="str">
        <f t="shared" si="423"/>
        <v/>
      </c>
      <c r="F773" s="2090" t="str">
        <f t="shared" si="423"/>
        <v/>
      </c>
      <c r="G773" s="2090" t="str">
        <f t="shared" si="423"/>
        <v/>
      </c>
      <c r="H773" s="2090" t="str">
        <f t="shared" si="423"/>
        <v/>
      </c>
      <c r="I773" s="2090" t="str">
        <f t="shared" si="423"/>
        <v/>
      </c>
      <c r="J773" s="2090" t="str">
        <f t="shared" si="423"/>
        <v/>
      </c>
      <c r="K773" s="2090" t="str">
        <f t="shared" si="423"/>
        <v/>
      </c>
      <c r="N773" s="1920"/>
      <c r="O773" s="1920"/>
      <c r="Q773" s="1185">
        <v>15</v>
      </c>
      <c r="R773" s="1297">
        <f>-SUM(B770:K770) - SUM(B802:F802)</f>
        <v>31503</v>
      </c>
      <c r="S773" s="1297">
        <f>SUM(B771:K771) + SUM(B803:F803)+R773</f>
        <v>1329829.2221587377</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31503</v>
      </c>
      <c r="S774" s="1297">
        <f>SUM(B771:K771) + SUM(B803:G803)+R774</f>
        <v>1448246.3593579223</v>
      </c>
    </row>
    <row r="775" spans="1:19">
      <c r="A775" s="251" t="s">
        <v>1414</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31503</v>
      </c>
      <c r="S775" s="1297">
        <f>SUM(B771:K771) + SUM(B803:H803)+R775</f>
        <v>1569988.894868053</v>
      </c>
    </row>
    <row r="776" spans="1:19">
      <c r="A776" s="251" t="s">
        <v>1415</v>
      </c>
      <c r="B776" s="2090">
        <f t="shared" ref="B776:K776" si="426">IF(AND(B764=0,B765=0,B766=0,B767=0),"",-B763/(B764+B765+B766+B767))</f>
        <v>1.2146709557167459</v>
      </c>
      <c r="C776" s="2090">
        <f t="shared" si="426"/>
        <v>1.228291860688369</v>
      </c>
      <c r="D776" s="2090">
        <f t="shared" si="426"/>
        <v>1.2418627920886032</v>
      </c>
      <c r="E776" s="2090">
        <f t="shared" si="426"/>
        <v>1.255377288308658</v>
      </c>
      <c r="F776" s="2090">
        <f t="shared" si="426"/>
        <v>1.2688221292307365</v>
      </c>
      <c r="G776" s="2090">
        <f t="shared" si="426"/>
        <v>1.2821867354571994</v>
      </c>
      <c r="H776" s="2090">
        <f t="shared" si="426"/>
        <v>1.2954568711183703</v>
      </c>
      <c r="I776" s="2090">
        <f t="shared" si="426"/>
        <v>1.3086209026733495</v>
      </c>
      <c r="J776" s="2090">
        <f t="shared" si="426"/>
        <v>1.3216666395671077</v>
      </c>
      <c r="K776" s="2090">
        <f t="shared" si="426"/>
        <v>1.3345813133598996</v>
      </c>
      <c r="N776" s="1920"/>
      <c r="O776" s="1920"/>
      <c r="Q776" s="1185">
        <v>18</v>
      </c>
      <c r="R776" s="1297">
        <f>-SUM(B770:K770) - SUM(B802:I802)</f>
        <v>31503</v>
      </c>
      <c r="S776" s="1297">
        <f>SUM(B771:K771) + SUM(B803:I803)+R776</f>
        <v>1694961.5185521676</v>
      </c>
    </row>
    <row r="777" spans="1:19">
      <c r="A777" s="251" t="s">
        <v>1416</v>
      </c>
      <c r="B777" s="2091">
        <f t="shared" ref="B777:K777" si="427">IF(OR(B760="Choose mgt fee",B760="Choose One!"),"",(B753+B754+B755+B756+B757) / -(B759+B760+B761))</f>
        <v>2.0229510664622219</v>
      </c>
      <c r="C777" s="2091">
        <f t="shared" si="427"/>
        <v>2.0052810066362645</v>
      </c>
      <c r="D777" s="2091">
        <f t="shared" si="427"/>
        <v>1.9877447112799616</v>
      </c>
      <c r="E777" s="2091">
        <f t="shared" si="427"/>
        <v>1.9703480399040008</v>
      </c>
      <c r="F777" s="2091">
        <f t="shared" si="427"/>
        <v>1.9530867237723557</v>
      </c>
      <c r="G777" s="2091">
        <f t="shared" si="427"/>
        <v>1.9359614463707502</v>
      </c>
      <c r="H777" s="2091">
        <f t="shared" si="427"/>
        <v>1.9189684338120407</v>
      </c>
      <c r="I777" s="2091">
        <f t="shared" si="427"/>
        <v>1.902108487245969</v>
      </c>
      <c r="J777" s="2091">
        <f t="shared" si="427"/>
        <v>1.8853822178525672</v>
      </c>
      <c r="K777" s="2091">
        <f t="shared" si="427"/>
        <v>1.868790061762116</v>
      </c>
      <c r="N777" s="1920"/>
      <c r="O777" s="1920"/>
      <c r="Q777" s="1185">
        <v>19</v>
      </c>
      <c r="R777" s="1297">
        <f>-SUM(B770:K770) - SUM(B802:J802)</f>
        <v>31503</v>
      </c>
      <c r="S777" s="1297">
        <f>SUM(B771:K771) + SUM(B803:J803)+R777</f>
        <v>1823060.5415274696</v>
      </c>
    </row>
    <row r="778" spans="1:19">
      <c r="A778" s="251" t="s">
        <v>1417</v>
      </c>
      <c r="B778" s="2089">
        <f>'Part VI-Pro Forma'!B40</f>
        <v>4131718.8426943091</v>
      </c>
      <c r="C778" s="2089">
        <f>'Part VI-Pro Forma'!C40</f>
        <v>4112067.3609620924</v>
      </c>
      <c r="D778" s="2089">
        <f>'Part VI-Pro Forma'!D40</f>
        <v>4090942.837617422</v>
      </c>
      <c r="E778" s="2089">
        <f>'Part VI-Pro Forma'!E40</f>
        <v>4068234.8559689983</v>
      </c>
      <c r="F778" s="2089">
        <f>'Part VI-Pro Forma'!F40</f>
        <v>4043824.722678334</v>
      </c>
      <c r="G778" s="2089">
        <f>'Part VI-Pro Forma'!G40</f>
        <v>4017584.8473563739</v>
      </c>
      <c r="H778" s="2089">
        <f>'Part VI-Pro Forma'!H40</f>
        <v>3989378.0756557318</v>
      </c>
      <c r="I778" s="2089">
        <f>'Part VI-Pro Forma'!I40</f>
        <v>3959056.9723726572</v>
      </c>
      <c r="J778" s="2089">
        <f>'Part VI-Pro Forma'!J40</f>
        <v>3926463.0508115473</v>
      </c>
      <c r="K778" s="2089">
        <f>'Part VI-Pro Forma'!K40</f>
        <v>3891425.9443839318</v>
      </c>
      <c r="N778" s="1920"/>
      <c r="O778" s="1920"/>
      <c r="Q778" s="1185">
        <v>20</v>
      </c>
      <c r="R778" s="1297">
        <f>-SUM(B770:K770) - SUM(B802:K802)</f>
        <v>31503</v>
      </c>
      <c r="S778" s="1297">
        <f>SUM(B771:K771) + SUM(B803:K803)+R778</f>
        <v>1954176.6224141181</v>
      </c>
    </row>
    <row r="779" spans="1:19">
      <c r="A779" s="251" t="s">
        <v>1418</v>
      </c>
      <c r="B779" s="2089" t="str">
        <f>'Part VI-Pro Forma'!B41</f>
        <v/>
      </c>
      <c r="C779" s="2089" t="str">
        <f>'Part VI-Pro Forma'!C41</f>
        <v/>
      </c>
      <c r="D779" s="2089" t="str">
        <f>'Part VI-Pro Forma'!D41</f>
        <v/>
      </c>
      <c r="E779" s="2089" t="str">
        <f>'Part VI-Pro Forma'!E41</f>
        <v/>
      </c>
      <c r="F779" s="2089" t="str">
        <f>'Part VI-Pro Forma'!F41</f>
        <v/>
      </c>
      <c r="G779" s="2089" t="str">
        <f>'Part VI-Pro Forma'!G41</f>
        <v/>
      </c>
      <c r="H779" s="2089" t="str">
        <f>'Part VI-Pro Forma'!H41</f>
        <v/>
      </c>
      <c r="I779" s="2089" t="str">
        <f>'Part VI-Pro Forma'!I41</f>
        <v/>
      </c>
      <c r="J779" s="2089" t="str">
        <f>'Part VI-Pro Forma'!J41</f>
        <v/>
      </c>
      <c r="K779" s="2089" t="str">
        <f>'Part VI-Pro Forma'!K41</f>
        <v/>
      </c>
      <c r="N779" s="1920"/>
      <c r="O779" s="1920"/>
    </row>
    <row r="780" spans="1:19">
      <c r="A780" s="251" t="s">
        <v>1419</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1420</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1421</v>
      </c>
      <c r="B782" s="2089">
        <f>'Part VI-Pro Forma'!B44</f>
        <v>0</v>
      </c>
      <c r="C782" s="2089">
        <f>'Part VI-Pro Forma'!C44</f>
        <v>0</v>
      </c>
      <c r="D782" s="2089">
        <f>'Part VI-Pro Forma'!D44</f>
        <v>0</v>
      </c>
      <c r="E782" s="2089">
        <f>'Part VI-Pro Forma'!E44</f>
        <v>0</v>
      </c>
      <c r="F782" s="2089">
        <f>'Part VI-Pro Forma'!F44</f>
        <v>0</v>
      </c>
      <c r="G782" s="2089">
        <f>'Part VI-Pro Forma'!G44</f>
        <v>0</v>
      </c>
      <c r="H782" s="2089">
        <f>'Part VI-Pro Forma'!H44</f>
        <v>0</v>
      </c>
      <c r="I782" s="2089">
        <f>'Part VI-Pro Forma'!I44</f>
        <v>0</v>
      </c>
      <c r="J782" s="2089">
        <f>'Part VI-Pro Forma'!J44</f>
        <v>0</v>
      </c>
      <c r="K782" s="2089">
        <f>'Part VI-Pro Forma'!K44</f>
        <v>0</v>
      </c>
      <c r="N782" s="1920"/>
      <c r="O782" s="1920"/>
    </row>
    <row r="783" spans="1:19">
      <c r="B783" s="2089"/>
      <c r="C783" s="2089"/>
      <c r="D783" s="2089"/>
      <c r="E783" s="2089"/>
      <c r="F783" s="2089"/>
      <c r="G783" s="2089"/>
      <c r="H783" s="2089"/>
      <c r="I783" s="2089"/>
      <c r="J783" s="2089"/>
      <c r="K783" s="2089"/>
    </row>
    <row r="784" spans="1:19">
      <c r="A784" s="255" t="s">
        <v>479</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1289</v>
      </c>
      <c r="O784" s="255"/>
    </row>
    <row r="785" spans="1:19">
      <c r="A785" s="251" t="s">
        <v>1395</v>
      </c>
      <c r="B785" s="2089">
        <f>'Part VI-Pro Forma'!B47</f>
        <v>983318.91481065075</v>
      </c>
      <c r="C785" s="2089">
        <f>'Part VI-Pro Forma'!C47</f>
        <v>1002985.2931068636</v>
      </c>
      <c r="D785" s="2089">
        <f>'Part VI-Pro Forma'!D47</f>
        <v>1023044.998969001</v>
      </c>
      <c r="E785" s="2089">
        <f>'Part VI-Pro Forma'!E47</f>
        <v>1043505.898948381</v>
      </c>
      <c r="F785" s="2089">
        <f>'Part VI-Pro Forma'!F47</f>
        <v>1064376.0169273487</v>
      </c>
      <c r="G785" s="2089">
        <f>'Part VI-Pro Forma'!G47</f>
        <v>1085663.5372658954</v>
      </c>
      <c r="H785" s="2089">
        <f>'Part VI-Pro Forma'!H47</f>
        <v>1107376.8080112136</v>
      </c>
      <c r="I785" s="2089">
        <f>'Part VI-Pro Forma'!I47</f>
        <v>1129524.3441714379</v>
      </c>
      <c r="J785" s="2089">
        <f>'Part VI-Pro Forma'!J47</f>
        <v>1152114.8310548665</v>
      </c>
      <c r="K785" s="2089">
        <f>'Part VI-Pro Forma'!K47</f>
        <v>1175157.1276759638</v>
      </c>
      <c r="N785" s="1920"/>
      <c r="O785" s="1920"/>
    </row>
    <row r="786" spans="1:19">
      <c r="A786" s="251" t="s">
        <v>1280</v>
      </c>
      <c r="B786" s="2089">
        <f>'Part VI-Pro Forma'!B48</f>
        <v>19666.378296213017</v>
      </c>
      <c r="C786" s="2089">
        <f>'Part VI-Pro Forma'!C48</f>
        <v>20059.705862137271</v>
      </c>
      <c r="D786" s="2089">
        <f>'Part VI-Pro Forma'!D48</f>
        <v>20460.899979380021</v>
      </c>
      <c r="E786" s="2089">
        <f>'Part VI-Pro Forma'!E48</f>
        <v>20870.117978967621</v>
      </c>
      <c r="F786" s="2089">
        <f>'Part VI-Pro Forma'!F48</f>
        <v>21287.520338546976</v>
      </c>
      <c r="G786" s="2089">
        <f>'Part VI-Pro Forma'!G48</f>
        <v>21713.27074531791</v>
      </c>
      <c r="H786" s="2089">
        <f>'Part VI-Pro Forma'!H48</f>
        <v>22147.53616022427</v>
      </c>
      <c r="I786" s="2089">
        <f>'Part VI-Pro Forma'!I48</f>
        <v>22590.486883428759</v>
      </c>
      <c r="J786" s="2089">
        <f>'Part VI-Pro Forma'!J48</f>
        <v>23042.296621097332</v>
      </c>
      <c r="K786" s="2089">
        <f>'Part VI-Pro Forma'!K48</f>
        <v>23503.142553519276</v>
      </c>
      <c r="N786" s="1920"/>
      <c r="O786" s="1920"/>
    </row>
    <row r="787" spans="1:19">
      <c r="A787" s="251" t="s">
        <v>1398</v>
      </c>
      <c r="B787" s="2089">
        <f>'Part VI-Pro Forma'!B49</f>
        <v>-70208.970517480469</v>
      </c>
      <c r="C787" s="2089">
        <f>'Part VI-Pro Forma'!C49</f>
        <v>-71613.149927830062</v>
      </c>
      <c r="D787" s="2089">
        <f>'Part VI-Pro Forma'!D49</f>
        <v>-73045.412926386678</v>
      </c>
      <c r="E787" s="2089">
        <f>'Part VI-Pro Forma'!E49</f>
        <v>-74506.321184914414</v>
      </c>
      <c r="F787" s="2089">
        <f>'Part VI-Pro Forma'!F49</f>
        <v>-75996.447608612696</v>
      </c>
      <c r="G787" s="2089">
        <f>'Part VI-Pro Forma'!G49</f>
        <v>-77516.376560784935</v>
      </c>
      <c r="H787" s="2089">
        <f>'Part VI-Pro Forma'!H49</f>
        <v>-79066.704092000655</v>
      </c>
      <c r="I787" s="2089">
        <f>'Part VI-Pro Forma'!I49</f>
        <v>-80648.038173840672</v>
      </c>
      <c r="J787" s="2089">
        <f>'Part VI-Pro Forma'!J49</f>
        <v>-82260.998937317476</v>
      </c>
      <c r="K787" s="2089">
        <f>'Part VI-Pro Forma'!K49</f>
        <v>-83906.218916063823</v>
      </c>
      <c r="N787" s="1920"/>
      <c r="O787" s="1920"/>
    </row>
    <row r="788" spans="1:19">
      <c r="A788" s="251" t="s">
        <v>1401</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1402</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1403</v>
      </c>
      <c r="B790" s="2089">
        <f>'Part VI-Pro Forma'!B52</f>
        <v>932776.32258938323</v>
      </c>
      <c r="C790" s="2089">
        <f>'Part VI-Pro Forma'!C52</f>
        <v>951431.84904117079</v>
      </c>
      <c r="D790" s="2089">
        <f>'Part VI-Pro Forma'!D52</f>
        <v>970460.48602199438</v>
      </c>
      <c r="E790" s="2089">
        <f>'Part VI-Pro Forma'!E52</f>
        <v>989869.69574243424</v>
      </c>
      <c r="F790" s="2089">
        <f>'Part VI-Pro Forma'!F52</f>
        <v>1009667.0896572829</v>
      </c>
      <c r="G790" s="2089">
        <f>'Part VI-Pro Forma'!G52</f>
        <v>1029860.4314504284</v>
      </c>
      <c r="H790" s="2089">
        <f>'Part VI-Pro Forma'!H52</f>
        <v>1050457.6400794373</v>
      </c>
      <c r="I790" s="2089">
        <f>'Part VI-Pro Forma'!I52</f>
        <v>1071466.7928810259</v>
      </c>
      <c r="J790" s="2089">
        <f>'Part VI-Pro Forma'!J52</f>
        <v>1092896.1287386464</v>
      </c>
      <c r="K790" s="2089">
        <f>'Part VI-Pro Forma'!K52</f>
        <v>1114754.0513134191</v>
      </c>
      <c r="N790" s="1920"/>
      <c r="O790" s="1920"/>
    </row>
    <row r="791" spans="1:19">
      <c r="A791" s="251" t="s">
        <v>1404</v>
      </c>
      <c r="B791" s="2089">
        <f>'Part VI-Pro Forma'!B53</f>
        <v>-432741.07414880721</v>
      </c>
      <c r="C791" s="2089">
        <f>'Part VI-Pro Forma'!C53</f>
        <v>-445723.30637327145</v>
      </c>
      <c r="D791" s="2089">
        <f>'Part VI-Pro Forma'!D53</f>
        <v>-459095.00556446949</v>
      </c>
      <c r="E791" s="2089">
        <f>'Part VI-Pro Forma'!E53</f>
        <v>-472867.85573140357</v>
      </c>
      <c r="F791" s="2089">
        <f>'Part VI-Pro Forma'!F53</f>
        <v>-487053.89140334574</v>
      </c>
      <c r="G791" s="2089">
        <f>'Part VI-Pro Forma'!G53</f>
        <v>-501665.50814544613</v>
      </c>
      <c r="H791" s="2089">
        <f>'Part VI-Pro Forma'!H53</f>
        <v>-516715.47338980943</v>
      </c>
      <c r="I791" s="2089">
        <f>'Part VI-Pro Forma'!I53</f>
        <v>-532216.93759150372</v>
      </c>
      <c r="J791" s="2089">
        <f>'Part VI-Pro Forma'!J53</f>
        <v>-548183.44571924885</v>
      </c>
      <c r="K791" s="2089">
        <f>'Part VI-Pro Forma'!K53</f>
        <v>-564628.94909082633</v>
      </c>
      <c r="N791" s="1920"/>
      <c r="O791" s="1920"/>
    </row>
    <row r="792" spans="1:19">
      <c r="A792" s="251" t="s">
        <v>1405</v>
      </c>
      <c r="B792" s="2089">
        <f>'Part VI-Pro Forma'!B54</f>
        <v>-46639</v>
      </c>
      <c r="C792" s="2089">
        <f>'Part VI-Pro Forma'!C54</f>
        <v>-47572</v>
      </c>
      <c r="D792" s="2089">
        <f>'Part VI-Pro Forma'!D54</f>
        <v>-48523</v>
      </c>
      <c r="E792" s="2089">
        <f>'Part VI-Pro Forma'!E54</f>
        <v>-49493</v>
      </c>
      <c r="F792" s="2089">
        <f>'Part VI-Pro Forma'!F54</f>
        <v>-50483</v>
      </c>
      <c r="G792" s="2089">
        <f>'Part VI-Pro Forma'!G54</f>
        <v>-51493</v>
      </c>
      <c r="H792" s="2089">
        <f>'Part VI-Pro Forma'!H54</f>
        <v>-52523</v>
      </c>
      <c r="I792" s="2089">
        <f>'Part VI-Pro Forma'!I54</f>
        <v>-53573</v>
      </c>
      <c r="J792" s="2089">
        <f>'Part VI-Pro Forma'!J54</f>
        <v>-54645</v>
      </c>
      <c r="K792" s="2089">
        <f>'Part VI-Pro Forma'!K54</f>
        <v>-55738</v>
      </c>
      <c r="N792" s="1920"/>
      <c r="O792" s="1920"/>
    </row>
    <row r="793" spans="1:19">
      <c r="A793" s="251" t="s">
        <v>1406</v>
      </c>
      <c r="B793" s="2089">
        <f>'Part VI-Pro Forma'!B55</f>
        <v>-24190.494828194191</v>
      </c>
      <c r="C793" s="2089">
        <f>'Part VI-Pro Forma'!C55</f>
        <v>-24916.209673040019</v>
      </c>
      <c r="D793" s="2089">
        <f>'Part VI-Pro Forma'!D55</f>
        <v>-25663.695963231214</v>
      </c>
      <c r="E793" s="2089">
        <f>'Part VI-Pro Forma'!E55</f>
        <v>-26433.606842128149</v>
      </c>
      <c r="F793" s="2089">
        <f>'Part VI-Pro Forma'!F55</f>
        <v>-27226.615047391999</v>
      </c>
      <c r="G793" s="2089">
        <f>'Part VI-Pro Forma'!G55</f>
        <v>-28043.413498813759</v>
      </c>
      <c r="H793" s="2089">
        <f>'Part VI-Pro Forma'!H55</f>
        <v>-28884.715903778168</v>
      </c>
      <c r="I793" s="2089">
        <f>'Part VI-Pro Forma'!I55</f>
        <v>-29751.257380891511</v>
      </c>
      <c r="J793" s="2089">
        <f>'Part VI-Pro Forma'!J55</f>
        <v>-30643.795102318258</v>
      </c>
      <c r="K793" s="2089">
        <f>'Part VI-Pro Forma'!K55</f>
        <v>-31563.108955387805</v>
      </c>
      <c r="N793" s="1920"/>
      <c r="O793" s="1920"/>
      <c r="Q793" s="1185"/>
      <c r="R793" s="1297"/>
      <c r="S793" s="1297"/>
    </row>
    <row r="794" spans="1:19">
      <c r="A794" s="251" t="s">
        <v>1407</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1408</v>
      </c>
      <c r="B795" s="2089">
        <f>SUM(B790:B794)</f>
        <v>429205.75361238181</v>
      </c>
      <c r="C795" s="2089">
        <f t="shared" ref="C795:J795" si="429">SUM(C790:C794)</f>
        <v>433220.33299485932</v>
      </c>
      <c r="D795" s="2089">
        <f t="shared" si="429"/>
        <v>437178.78449429368</v>
      </c>
      <c r="E795" s="2089">
        <f t="shared" si="429"/>
        <v>441075.23316890252</v>
      </c>
      <c r="F795" s="2089">
        <f t="shared" si="429"/>
        <v>444903.58320654521</v>
      </c>
      <c r="G795" s="2089">
        <f t="shared" si="429"/>
        <v>448658.5098061685</v>
      </c>
      <c r="H795" s="2089">
        <f t="shared" si="429"/>
        <v>452334.45078584965</v>
      </c>
      <c r="I795" s="2089">
        <f t="shared" si="429"/>
        <v>455925.59790863068</v>
      </c>
      <c r="J795" s="2089">
        <f t="shared" si="429"/>
        <v>459423.88791707926</v>
      </c>
      <c r="K795" s="2089">
        <f>SUM(K790:K794)</f>
        <v>462823.99326720502</v>
      </c>
      <c r="N795" s="1920"/>
      <c r="O795" s="1920"/>
    </row>
    <row r="796" spans="1:19">
      <c r="A796" s="251" t="str">
        <f>$A764</f>
        <v>Mortgage A</v>
      </c>
      <c r="B796" s="2089">
        <f>'Part VI-Pro Forma'!B58</f>
        <v>-318556.61698247807</v>
      </c>
      <c r="C796" s="2089">
        <f>'Part VI-Pro Forma'!C58</f>
        <v>-318556.61698247807</v>
      </c>
      <c r="D796" s="2089">
        <f>'Part VI-Pro Forma'!D58</f>
        <v>-318556.61698247807</v>
      </c>
      <c r="E796" s="2089">
        <f>'Part VI-Pro Forma'!E58</f>
        <v>-318556.61698247807</v>
      </c>
      <c r="F796" s="2089">
        <f>'Part VI-Pro Forma'!F58</f>
        <v>-318556.61698247807</v>
      </c>
      <c r="G796" s="2089">
        <f>'Part VI-Pro Forma'!G58</f>
        <v>-318556.61698247807</v>
      </c>
      <c r="H796" s="2089">
        <f>'Part VI-Pro Forma'!H58</f>
        <v>-318556.61698247807</v>
      </c>
      <c r="I796" s="2089">
        <f>'Part VI-Pro Forma'!I58</f>
        <v>-318556.61698247807</v>
      </c>
      <c r="J796" s="2089">
        <f>'Part VI-Pro Forma'!J58</f>
        <v>-318556.61698247807</v>
      </c>
      <c r="K796" s="2089">
        <f>'Part VI-Pro Forma'!K58</f>
        <v>-318556.61698247807</v>
      </c>
      <c r="N796" s="1920"/>
      <c r="O796" s="1920"/>
    </row>
    <row r="797" spans="1:19">
      <c r="A797" s="251" t="str">
        <f>$A765</f>
        <v>Mortgage B</v>
      </c>
      <c r="B797" s="2089">
        <f>'Part VI-Pro Forma'!B59</f>
        <v>0</v>
      </c>
      <c r="C797" s="2089">
        <f>'Part VI-Pro Forma'!C59</f>
        <v>0</v>
      </c>
      <c r="D797" s="2089">
        <f>'Part VI-Pro Forma'!D59</f>
        <v>0</v>
      </c>
      <c r="E797" s="2089">
        <f>'Part VI-Pro Forma'!E59</f>
        <v>0</v>
      </c>
      <c r="F797" s="2089">
        <f>'Part VI-Pro Forma'!F59</f>
        <v>0</v>
      </c>
      <c r="G797" s="2089">
        <f>'Part VI-Pro Forma'!G59</f>
        <v>0</v>
      </c>
      <c r="H797" s="2089">
        <f>'Part VI-Pro Forma'!H59</f>
        <v>0</v>
      </c>
      <c r="I797" s="2089">
        <f>'Part VI-Pro Forma'!I59</f>
        <v>0</v>
      </c>
      <c r="J797" s="2089">
        <f>'Part VI-Pro Forma'!J59</f>
        <v>0</v>
      </c>
      <c r="K797" s="2089">
        <f>'Part VI-Pro Forma'!K59</f>
        <v>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1410</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1411</v>
      </c>
      <c r="B801" s="2089">
        <f>'Part VI-Pro Forma'!B63</f>
        <v>-10079.372845080916</v>
      </c>
      <c r="C801" s="2089">
        <f>'Part VI-Pro Forma'!C63</f>
        <v>-10381.754030433343</v>
      </c>
      <c r="D801" s="2089">
        <f>'Part VI-Pro Forma'!D63</f>
        <v>-10693.206651346343</v>
      </c>
      <c r="E801" s="2089">
        <f>'Part VI-Pro Forma'!E63</f>
        <v>-11014.002850886734</v>
      </c>
      <c r="F801" s="2089">
        <f>'Part VI-Pro Forma'!F63</f>
        <v>-11344.422936413337</v>
      </c>
      <c r="G801" s="2089">
        <f>'Part VI-Pro Forma'!G63</f>
        <v>-11684.755624505737</v>
      </c>
      <c r="H801" s="2089">
        <f>'Part VI-Pro Forma'!H63</f>
        <v>-12035.298293240909</v>
      </c>
      <c r="I801" s="2089">
        <f>'Part VI-Pro Forma'!I63</f>
        <v>-12396.357242038137</v>
      </c>
      <c r="J801" s="2089">
        <f>'Part VI-Pro Forma'!J63</f>
        <v>-12768.247959299282</v>
      </c>
      <c r="K801" s="2089">
        <f>'Part VI-Pro Forma'!K63</f>
        <v>-13151.29539807826</v>
      </c>
      <c r="N801" s="1920"/>
      <c r="O801" s="1920"/>
    </row>
    <row r="802" spans="1:15">
      <c r="A802" s="251" t="s">
        <v>1412</v>
      </c>
      <c r="B802" s="2089">
        <f>'Part VI-Pro Forma'!B64</f>
        <v>0</v>
      </c>
      <c r="C802" s="2089">
        <f>'Part VI-Pro Forma'!C64</f>
        <v>0</v>
      </c>
      <c r="D802" s="2089">
        <f>'Part VI-Pro Forma'!D64</f>
        <v>0</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1413</v>
      </c>
      <c r="B803" s="2089">
        <f t="shared" ref="B803:K803" si="430">SUM(B795:B802)</f>
        <v>100569.76378482283</v>
      </c>
      <c r="C803" s="2089">
        <f t="shared" si="430"/>
        <v>104281.96198194791</v>
      </c>
      <c r="D803" s="2089">
        <f t="shared" si="430"/>
        <v>107928.96086046926</v>
      </c>
      <c r="E803" s="2089">
        <f t="shared" si="430"/>
        <v>111504.61333553771</v>
      </c>
      <c r="F803" s="2089">
        <f t="shared" si="430"/>
        <v>115002.54328765381</v>
      </c>
      <c r="G803" s="2089">
        <f t="shared" si="430"/>
        <v>118417.1371991847</v>
      </c>
      <c r="H803" s="2089">
        <f t="shared" si="430"/>
        <v>121742.53551013068</v>
      </c>
      <c r="I803" s="2089">
        <f t="shared" si="430"/>
        <v>124972.62368411447</v>
      </c>
      <c r="J803" s="2089">
        <f t="shared" si="430"/>
        <v>128099.02297530192</v>
      </c>
      <c r="K803" s="2089">
        <f t="shared" si="430"/>
        <v>131116.08088664871</v>
      </c>
      <c r="N803" s="1920"/>
      <c r="O803" s="1920"/>
    </row>
    <row r="804" spans="1:15">
      <c r="A804" s="251" t="str">
        <f>$A772</f>
        <v>DCR Mortgage A</v>
      </c>
      <c r="B804" s="2090">
        <f t="shared" ref="B804:K804" si="431">IF(B796=0,"",-B795/B796)</f>
        <v>1.347345277828556</v>
      </c>
      <c r="C804" s="2090">
        <f t="shared" si="431"/>
        <v>1.3599476824513372</v>
      </c>
      <c r="D804" s="2090">
        <f t="shared" si="431"/>
        <v>1.3723738927022204</v>
      </c>
      <c r="E804" s="2090">
        <f t="shared" si="431"/>
        <v>1.3846054662024601</v>
      </c>
      <c r="F804" s="2090">
        <f t="shared" si="431"/>
        <v>1.3966232672260477</v>
      </c>
      <c r="G804" s="2090">
        <f t="shared" si="431"/>
        <v>1.4084105803736815</v>
      </c>
      <c r="H804" s="2090">
        <f t="shared" si="431"/>
        <v>1.41994994506967</v>
      </c>
      <c r="I804" s="2090">
        <f t="shared" si="431"/>
        <v>1.4312231283323444</v>
      </c>
      <c r="J804" s="2090">
        <f t="shared" si="431"/>
        <v>1.4422048183113065</v>
      </c>
      <c r="K804" s="2090">
        <f t="shared" si="431"/>
        <v>1.4528782909967375</v>
      </c>
      <c r="N804" s="1920"/>
      <c r="O804" s="1920"/>
    </row>
    <row r="805" spans="1:15">
      <c r="A805" s="251" t="str">
        <f>$A773</f>
        <v>DCR Mortgage B</v>
      </c>
      <c r="B805" s="2090" t="str">
        <f t="shared" ref="B805:K805" si="432">IF(B797=0,"",-(B795+B796)/B797)</f>
        <v/>
      </c>
      <c r="C805" s="2090" t="str">
        <f t="shared" si="432"/>
        <v/>
      </c>
      <c r="D805" s="2090" t="str">
        <f t="shared" si="432"/>
        <v/>
      </c>
      <c r="E805" s="2090" t="str">
        <f t="shared" si="432"/>
        <v/>
      </c>
      <c r="F805" s="2090" t="str">
        <f t="shared" si="432"/>
        <v/>
      </c>
      <c r="G805" s="2090" t="str">
        <f t="shared" si="432"/>
        <v/>
      </c>
      <c r="H805" s="2090" t="str">
        <f t="shared" si="432"/>
        <v/>
      </c>
      <c r="I805" s="2090" t="str">
        <f t="shared" si="432"/>
        <v/>
      </c>
      <c r="J805" s="2090" t="str">
        <f t="shared" si="432"/>
        <v/>
      </c>
      <c r="K805" s="2090" t="str">
        <f t="shared" si="432"/>
        <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1415</v>
      </c>
      <c r="B808" s="2090">
        <f t="shared" ref="B808:K808" si="435">IF(AND(B796=0,B797=0,B798=0,B799=0),"",-B795/(B796+B797+B798+B799))</f>
        <v>1.347345277828556</v>
      </c>
      <c r="C808" s="2090">
        <f t="shared" si="435"/>
        <v>1.3599476824513372</v>
      </c>
      <c r="D808" s="2090">
        <f t="shared" si="435"/>
        <v>1.3723738927022204</v>
      </c>
      <c r="E808" s="2090">
        <f t="shared" si="435"/>
        <v>1.3846054662024601</v>
      </c>
      <c r="F808" s="2090">
        <f t="shared" si="435"/>
        <v>1.3966232672260477</v>
      </c>
      <c r="G808" s="2090">
        <f t="shared" si="435"/>
        <v>1.4084105803736815</v>
      </c>
      <c r="H808" s="2090">
        <f t="shared" si="435"/>
        <v>1.41994994506967</v>
      </c>
      <c r="I808" s="2090">
        <f t="shared" si="435"/>
        <v>1.4312231283323444</v>
      </c>
      <c r="J808" s="2090">
        <f t="shared" si="435"/>
        <v>1.4422048183113065</v>
      </c>
      <c r="K808" s="2090">
        <f t="shared" si="435"/>
        <v>1.4528782909967375</v>
      </c>
      <c r="N808" s="1920"/>
      <c r="O808" s="1920"/>
    </row>
    <row r="809" spans="1:15">
      <c r="A809" s="251" t="s">
        <v>1416</v>
      </c>
      <c r="B809" s="2091">
        <f t="shared" ref="B809:K809" si="436">IF(OR(B792="Choose mgt fee",B792="Choose One!"),"",(B785+B786+B787+B788+B789) / -(B791+B792+B793))</f>
        <v>1.8523249372661095</v>
      </c>
      <c r="C809" s="2091">
        <f t="shared" si="436"/>
        <v>1.8359913270552315</v>
      </c>
      <c r="D809" s="2091">
        <f t="shared" si="436"/>
        <v>1.8197895844577086</v>
      </c>
      <c r="E809" s="2091">
        <f t="shared" si="436"/>
        <v>1.8037166248006811</v>
      </c>
      <c r="F809" s="2091">
        <f t="shared" si="436"/>
        <v>1.7877697091346192</v>
      </c>
      <c r="G809" s="2091">
        <f t="shared" si="436"/>
        <v>1.7719494604162405</v>
      </c>
      <c r="H809" s="2091">
        <f t="shared" si="436"/>
        <v>1.7562563346190914</v>
      </c>
      <c r="I809" s="2091">
        <f t="shared" si="436"/>
        <v>1.7406906339210608</v>
      </c>
      <c r="J809" s="2091">
        <f t="shared" si="436"/>
        <v>1.7252470721072799</v>
      </c>
      <c r="K809" s="2091">
        <f t="shared" si="436"/>
        <v>1.709928906567453</v>
      </c>
      <c r="N809" s="1920"/>
      <c r="O809" s="1920"/>
    </row>
    <row r="810" spans="1:15">
      <c r="A810" s="251" t="s">
        <v>1417</v>
      </c>
      <c r="B810" s="2089">
        <f>'Part VI-Pro Forma'!B72</f>
        <v>3853762.5161119327</v>
      </c>
      <c r="C810" s="2089">
        <f>'Part VI-Pro Forma'!C72</f>
        <v>3813275.9013816142</v>
      </c>
      <c r="D810" s="2089">
        <f>'Part VI-Pro Forma'!D72</f>
        <v>3769754.4789427579</v>
      </c>
      <c r="E810" s="2089">
        <f>'Part VI-Pro Forma'!E72</f>
        <v>3722970.7647765307</v>
      </c>
      <c r="F810" s="2089">
        <f>'Part VI-Pro Forma'!F72</f>
        <v>3672680.2230493571</v>
      </c>
      <c r="G810" s="2089">
        <f>'Part VI-Pro Forma'!G72</f>
        <v>3618619.9879379179</v>
      </c>
      <c r="H810" s="2089">
        <f>'Part VI-Pro Forma'!H72</f>
        <v>3560507.4896443286</v>
      </c>
      <c r="I810" s="2089">
        <f>'Part VI-Pro Forma'!I72</f>
        <v>3498038.9774197522</v>
      </c>
      <c r="J810" s="2089">
        <f>'Part VI-Pro Forma'!J72</f>
        <v>3430887.9318763781</v>
      </c>
      <c r="K810" s="2089">
        <f>'Part VI-Pro Forma'!K72</f>
        <v>3358703.3582890108</v>
      </c>
      <c r="N810" s="1920"/>
      <c r="O810" s="1920"/>
    </row>
    <row r="811" spans="1:15">
      <c r="A811" s="251" t="s">
        <v>1418</v>
      </c>
      <c r="B811" s="2089" t="str">
        <f>'Part VI-Pro Forma'!B73</f>
        <v/>
      </c>
      <c r="C811" s="2089" t="str">
        <f>'Part VI-Pro Forma'!C73</f>
        <v/>
      </c>
      <c r="D811" s="2089" t="str">
        <f>'Part VI-Pro Forma'!D73</f>
        <v/>
      </c>
      <c r="E811" s="2089" t="str">
        <f>'Part VI-Pro Forma'!E73</f>
        <v/>
      </c>
      <c r="F811" s="2089" t="str">
        <f>'Part VI-Pro Forma'!F73</f>
        <v/>
      </c>
      <c r="G811" s="2089" t="str">
        <f>'Part VI-Pro Forma'!G73</f>
        <v/>
      </c>
      <c r="H811" s="2089" t="str">
        <f>'Part VI-Pro Forma'!H73</f>
        <v/>
      </c>
      <c r="I811" s="2089" t="str">
        <f>'Part VI-Pro Forma'!I73</f>
        <v/>
      </c>
      <c r="J811" s="2089" t="str">
        <f>'Part VI-Pro Forma'!J73</f>
        <v/>
      </c>
      <c r="K811" s="2089" t="str">
        <f>'Part VI-Pro Forma'!K73</f>
        <v/>
      </c>
      <c r="N811" s="1920"/>
      <c r="O811" s="1920"/>
    </row>
    <row r="812" spans="1:15">
      <c r="A812" s="251" t="s">
        <v>1419</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1420</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1421</v>
      </c>
      <c r="B814" s="2089">
        <f>'Part VI-Pro Forma'!B76</f>
        <v>0</v>
      </c>
      <c r="C814" s="2089">
        <f>'Part VI-Pro Forma'!C76</f>
        <v>0</v>
      </c>
      <c r="D814" s="2089">
        <f>'Part VI-Pro Forma'!D76</f>
        <v>0</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479</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1290</v>
      </c>
      <c r="O816" s="255"/>
    </row>
    <row r="817" spans="1:19">
      <c r="A817" s="251" t="s">
        <v>1395</v>
      </c>
      <c r="B817" s="2089">
        <f>'Part VI-Pro Forma'!B79</f>
        <v>1198660.2702294833</v>
      </c>
      <c r="C817" s="2089">
        <f>'Part VI-Pro Forma'!C79</f>
        <v>1222633.4756340727</v>
      </c>
      <c r="D817" s="2089">
        <f>'Part VI-Pro Forma'!D79</f>
        <v>1247086.1451467543</v>
      </c>
      <c r="E817" s="2089">
        <f>'Part VI-Pro Forma'!E79</f>
        <v>1272027.8680496891</v>
      </c>
      <c r="F817" s="2089">
        <f>'Part VI-Pro Forma'!F79</f>
        <v>1297468.425410683</v>
      </c>
      <c r="G817" s="2089">
        <f>'Part VI-Pro Forma'!G79</f>
        <v>1323417.7939188967</v>
      </c>
      <c r="H817" s="2089">
        <f>'Part VI-Pro Forma'!H79</f>
        <v>1349886.1497972747</v>
      </c>
      <c r="I817" s="2089">
        <f>'Part VI-Pro Forma'!I79</f>
        <v>1376883.87279322</v>
      </c>
      <c r="J817" s="2089">
        <f>'Part VI-Pro Forma'!J79</f>
        <v>1404421.5502490846</v>
      </c>
      <c r="K817" s="2089">
        <f>'Part VI-Pro Forma'!K79</f>
        <v>1432509.9812540661</v>
      </c>
      <c r="N817" s="1920"/>
      <c r="O817" s="1920"/>
    </row>
    <row r="818" spans="1:19">
      <c r="A818" s="251" t="s">
        <v>1280</v>
      </c>
      <c r="B818" s="2089">
        <f>'Part VI-Pro Forma'!B80</f>
        <v>23973.205404589662</v>
      </c>
      <c r="C818" s="2089">
        <f>'Part VI-Pro Forma'!C80</f>
        <v>24452.669512681456</v>
      </c>
      <c r="D818" s="2089">
        <f>'Part VI-Pro Forma'!D80</f>
        <v>24941.722902935086</v>
      </c>
      <c r="E818" s="2089">
        <f>'Part VI-Pro Forma'!E80</f>
        <v>25440.557360993782</v>
      </c>
      <c r="F818" s="2089">
        <f>'Part VI-Pro Forma'!F80</f>
        <v>25949.368508213658</v>
      </c>
      <c r="G818" s="2089">
        <f>'Part VI-Pro Forma'!G80</f>
        <v>26468.355878377934</v>
      </c>
      <c r="H818" s="2089">
        <f>'Part VI-Pro Forma'!H80</f>
        <v>26997.722995945496</v>
      </c>
      <c r="I818" s="2089">
        <f>'Part VI-Pro Forma'!I80</f>
        <v>27537.677455864399</v>
      </c>
      <c r="J818" s="2089">
        <f>'Part VI-Pro Forma'!J80</f>
        <v>28088.431004981692</v>
      </c>
      <c r="K818" s="2089">
        <f>'Part VI-Pro Forma'!K80</f>
        <v>28650.199625081324</v>
      </c>
      <c r="N818" s="1920"/>
      <c r="O818" s="1920"/>
    </row>
    <row r="819" spans="1:19">
      <c r="A819" s="251" t="s">
        <v>1398</v>
      </c>
      <c r="B819" s="2089">
        <f>'Part VI-Pro Forma'!B81</f>
        <v>-85584.343294385108</v>
      </c>
      <c r="C819" s="2089">
        <f>'Part VI-Pro Forma'!C81</f>
        <v>-87296.0301602728</v>
      </c>
      <c r="D819" s="2089">
        <f>'Part VI-Pro Forma'!D81</f>
        <v>-89041.950763478264</v>
      </c>
      <c r="E819" s="2089">
        <f>'Part VI-Pro Forma'!E81</f>
        <v>-90822.7897787478</v>
      </c>
      <c r="F819" s="2089">
        <f>'Part VI-Pro Forma'!F81</f>
        <v>-92639.245574322777</v>
      </c>
      <c r="G819" s="2089">
        <f>'Part VI-Pro Forma'!G81</f>
        <v>-94492.030485809242</v>
      </c>
      <c r="H819" s="2089">
        <f>'Part VI-Pro Forma'!H81</f>
        <v>-96381.871095525421</v>
      </c>
      <c r="I819" s="2089">
        <f>'Part VI-Pro Forma'!I81</f>
        <v>-98309.508517435912</v>
      </c>
      <c r="J819" s="2089">
        <f>'Part VI-Pro Forma'!J81</f>
        <v>-100275.69868778465</v>
      </c>
      <c r="K819" s="2089">
        <f>'Part VI-Pro Forma'!K81</f>
        <v>-102281.21266154034</v>
      </c>
      <c r="N819" s="1920"/>
      <c r="O819" s="1920"/>
    </row>
    <row r="820" spans="1:19">
      <c r="A820" s="251" t="s">
        <v>1401</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1402</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1403</v>
      </c>
      <c r="B822" s="2089">
        <f>'Part VI-Pro Forma'!B84</f>
        <v>1137049.1323396878</v>
      </c>
      <c r="C822" s="2089">
        <f>'Part VI-Pro Forma'!C84</f>
        <v>1159790.1149864814</v>
      </c>
      <c r="D822" s="2089">
        <f>'Part VI-Pro Forma'!D84</f>
        <v>1182985.9172862112</v>
      </c>
      <c r="E822" s="2089">
        <f>'Part VI-Pro Forma'!E84</f>
        <v>1206645.635631935</v>
      </c>
      <c r="F822" s="2089">
        <f>'Part VI-Pro Forma'!F84</f>
        <v>1230778.5483445739</v>
      </c>
      <c r="G822" s="2089">
        <f>'Part VI-Pro Forma'!G84</f>
        <v>1255394.1193114654</v>
      </c>
      <c r="H822" s="2089">
        <f>'Part VI-Pro Forma'!H84</f>
        <v>1280502.0016976949</v>
      </c>
      <c r="I822" s="2089">
        <f>'Part VI-Pro Forma'!I84</f>
        <v>1306112.0417316484</v>
      </c>
      <c r="J822" s="2089">
        <f>'Part VI-Pro Forma'!J84</f>
        <v>1332234.2825662817</v>
      </c>
      <c r="K822" s="2089">
        <f>'Part VI-Pro Forma'!K84</f>
        <v>1358878.9682176071</v>
      </c>
      <c r="N822" s="1920"/>
      <c r="O822" s="1920"/>
    </row>
    <row r="823" spans="1:19">
      <c r="A823" s="251" t="s">
        <v>1404</v>
      </c>
      <c r="B823" s="2089">
        <f>'Part VI-Pro Forma'!B85</f>
        <v>-581567.81756355101</v>
      </c>
      <c r="C823" s="2089">
        <f>'Part VI-Pro Forma'!C85</f>
        <v>-599014.85209045757</v>
      </c>
      <c r="D823" s="2089">
        <f>'Part VI-Pro Forma'!D85</f>
        <v>-616985.29765317135</v>
      </c>
      <c r="E823" s="2089">
        <f>'Part VI-Pro Forma'!E85</f>
        <v>-635494.85658276652</v>
      </c>
      <c r="F823" s="2089">
        <f>'Part VI-Pro Forma'!F85</f>
        <v>-654559.70228024933</v>
      </c>
      <c r="G823" s="2089">
        <f>'Part VI-Pro Forma'!G85</f>
        <v>-674196.4933486568</v>
      </c>
      <c r="H823" s="2089">
        <f>'Part VI-Pro Forma'!H85</f>
        <v>-694422.38814911665</v>
      </c>
      <c r="I823" s="2089">
        <f>'Part VI-Pro Forma'!I85</f>
        <v>-715255.0597935901</v>
      </c>
      <c r="J823" s="2089">
        <f>'Part VI-Pro Forma'!J85</f>
        <v>-736712.71158739773</v>
      </c>
      <c r="K823" s="2089">
        <f>'Part VI-Pro Forma'!K85</f>
        <v>-758814.09293501964</v>
      </c>
      <c r="N823" s="1920"/>
      <c r="O823" s="1920"/>
    </row>
    <row r="824" spans="1:19">
      <c r="A824" s="251" t="s">
        <v>1405</v>
      </c>
      <c r="B824" s="2089">
        <f>'Part VI-Pro Forma'!B86</f>
        <v>-56852</v>
      </c>
      <c r="C824" s="2089">
        <f>'Part VI-Pro Forma'!C86</f>
        <v>-57990</v>
      </c>
      <c r="D824" s="2089">
        <f>'Part VI-Pro Forma'!D86</f>
        <v>-59149</v>
      </c>
      <c r="E824" s="2089">
        <f>'Part VI-Pro Forma'!E86</f>
        <v>-60332</v>
      </c>
      <c r="F824" s="2089">
        <f>'Part VI-Pro Forma'!F86</f>
        <v>-61539</v>
      </c>
      <c r="G824" s="2089">
        <f>'Part VI-Pro Forma'!G86</f>
        <v>-62770</v>
      </c>
      <c r="H824" s="2089">
        <f>'Part VI-Pro Forma'!H86</f>
        <v>-64025</v>
      </c>
      <c r="I824" s="2089">
        <f>'Part VI-Pro Forma'!I86</f>
        <v>-65306</v>
      </c>
      <c r="J824" s="2089">
        <f>'Part VI-Pro Forma'!J86</f>
        <v>-66612</v>
      </c>
      <c r="K824" s="2089">
        <f>'Part VI-Pro Forma'!K86</f>
        <v>-67944</v>
      </c>
      <c r="N824" s="1920"/>
      <c r="O824" s="1920"/>
    </row>
    <row r="825" spans="1:19">
      <c r="A825" s="251" t="s">
        <v>1406</v>
      </c>
      <c r="B825" s="2089">
        <f>'Part VI-Pro Forma'!B87</f>
        <v>-32510.00222404944</v>
      </c>
      <c r="C825" s="2089">
        <f>'Part VI-Pro Forma'!C87</f>
        <v>-33485.302290770916</v>
      </c>
      <c r="D825" s="2089">
        <f>'Part VI-Pro Forma'!D87</f>
        <v>-34489.861359494047</v>
      </c>
      <c r="E825" s="2089">
        <f>'Part VI-Pro Forma'!E87</f>
        <v>-35524.557200278869</v>
      </c>
      <c r="F825" s="2089">
        <f>'Part VI-Pro Forma'!F87</f>
        <v>-36590.293916287235</v>
      </c>
      <c r="G825" s="2089">
        <f>'Part VI-Pro Forma'!G87</f>
        <v>-37688.002733775851</v>
      </c>
      <c r="H825" s="2089">
        <f>'Part VI-Pro Forma'!H87</f>
        <v>-38818.642815789128</v>
      </c>
      <c r="I825" s="2089">
        <f>'Part VI-Pro Forma'!I87</f>
        <v>-39983.202100262803</v>
      </c>
      <c r="J825" s="2089">
        <f>'Part VI-Pro Forma'!J87</f>
        <v>-41182.698163270681</v>
      </c>
      <c r="K825" s="2089">
        <f>'Part VI-Pro Forma'!K87</f>
        <v>-42418.179108168799</v>
      </c>
      <c r="N825" s="1920"/>
      <c r="O825" s="1920"/>
      <c r="Q825" s="1185"/>
      <c r="R825" s="1297"/>
      <c r="S825" s="1297"/>
    </row>
    <row r="826" spans="1:19">
      <c r="A826" s="251" t="s">
        <v>1407</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1408</v>
      </c>
      <c r="B827" s="2089">
        <f>SUM(B822:B826)</f>
        <v>466119.31255208736</v>
      </c>
      <c r="C827" s="2089">
        <f t="shared" ref="C827:J827" si="438">SUM(C822:C826)</f>
        <v>469299.96060525288</v>
      </c>
      <c r="D827" s="2089">
        <f t="shared" si="438"/>
        <v>472361.75827354577</v>
      </c>
      <c r="E827" s="2089">
        <f t="shared" si="438"/>
        <v>475294.2218488896</v>
      </c>
      <c r="F827" s="2089">
        <f t="shared" si="438"/>
        <v>478089.55214803736</v>
      </c>
      <c r="G827" s="2089">
        <f t="shared" si="438"/>
        <v>480739.62322903273</v>
      </c>
      <c r="H827" s="2089">
        <f t="shared" si="438"/>
        <v>483235.97073278908</v>
      </c>
      <c r="I827" s="2089">
        <f t="shared" si="438"/>
        <v>485567.77983779548</v>
      </c>
      <c r="J827" s="2089">
        <f t="shared" si="438"/>
        <v>487726.87281561334</v>
      </c>
      <c r="K827" s="2089">
        <f>SUM(K822:K826)</f>
        <v>489702.69617441867</v>
      </c>
      <c r="N827" s="1920"/>
      <c r="O827" s="1920"/>
    </row>
    <row r="828" spans="1:19">
      <c r="A828" s="251" t="str">
        <f>$A796</f>
        <v>Mortgage A</v>
      </c>
      <c r="B828" s="2089">
        <f>'Part VI-Pro Forma'!B90</f>
        <v>-318556.61698247807</v>
      </c>
      <c r="C828" s="2089">
        <f>'Part VI-Pro Forma'!C90</f>
        <v>-318556.61698247807</v>
      </c>
      <c r="D828" s="2089">
        <f>'Part VI-Pro Forma'!D90</f>
        <v>-318556.61698247807</v>
      </c>
      <c r="E828" s="2089">
        <f>'Part VI-Pro Forma'!E90</f>
        <v>-318556.61698247807</v>
      </c>
      <c r="F828" s="2089">
        <f>'Part VI-Pro Forma'!F90</f>
        <v>-318556.61698247807</v>
      </c>
      <c r="G828" s="2089">
        <f>'Part VI-Pro Forma'!G90</f>
        <v>-318556.61698247807</v>
      </c>
      <c r="H828" s="2089">
        <f>'Part VI-Pro Forma'!H90</f>
        <v>-318556.61698247807</v>
      </c>
      <c r="I828" s="2089">
        <f>'Part VI-Pro Forma'!I90</f>
        <v>-318556.61698247807</v>
      </c>
      <c r="J828" s="2089">
        <f>'Part VI-Pro Forma'!J90</f>
        <v>-318556.61698247807</v>
      </c>
      <c r="K828" s="2089">
        <f>'Part VI-Pro Forma'!K90</f>
        <v>-318556.61698247807</v>
      </c>
      <c r="N828" s="1920"/>
      <c r="O828" s="1920"/>
    </row>
    <row r="829" spans="1:19">
      <c r="A829" s="251" t="str">
        <f>$A797</f>
        <v>Mortgage B</v>
      </c>
      <c r="B829" s="2089">
        <f>'Part VI-Pro Forma'!B91</f>
        <v>0</v>
      </c>
      <c r="C829" s="2089">
        <f>'Part VI-Pro Forma'!C91</f>
        <v>0</v>
      </c>
      <c r="D829" s="2089">
        <f>'Part VI-Pro Forma'!D91</f>
        <v>0</v>
      </c>
      <c r="E829" s="2089">
        <f>'Part VI-Pro Forma'!E91</f>
        <v>0</v>
      </c>
      <c r="F829" s="2089">
        <f>'Part VI-Pro Forma'!F91</f>
        <v>0</v>
      </c>
      <c r="G829" s="2089">
        <f>'Part VI-Pro Forma'!G91</f>
        <v>0</v>
      </c>
      <c r="H829" s="2089">
        <f>'Part VI-Pro Forma'!H91</f>
        <v>0</v>
      </c>
      <c r="I829" s="2089">
        <f>'Part VI-Pro Forma'!I91</f>
        <v>0</v>
      </c>
      <c r="J829" s="2089">
        <f>'Part VI-Pro Forma'!J91</f>
        <v>0</v>
      </c>
      <c r="K829" s="2089">
        <f>'Part VI-Pro Forma'!K91</f>
        <v>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1410</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1411</v>
      </c>
      <c r="B833" s="2089">
        <f>'Part VI-Pro Forma'!B95</f>
        <v>-13151.29539807826</v>
      </c>
      <c r="C833" s="2089">
        <f>'Part VI-Pro Forma'!C95</f>
        <v>-13151.29539807826</v>
      </c>
      <c r="D833" s="2089">
        <f>'Part VI-Pro Forma'!D95</f>
        <v>-13151.29539807826</v>
      </c>
      <c r="E833" s="2089">
        <f>'Part VI-Pro Forma'!E95</f>
        <v>-13151.29539807826</v>
      </c>
      <c r="F833" s="2089">
        <f>'Part VI-Pro Forma'!F95</f>
        <v>-13151.29539807826</v>
      </c>
      <c r="G833" s="2089">
        <f>'Part VI-Pro Forma'!G95</f>
        <v>-13151.29539807826</v>
      </c>
      <c r="H833" s="2089">
        <f>'Part VI-Pro Forma'!H95</f>
        <v>-13151.29539807826</v>
      </c>
      <c r="I833" s="2089">
        <f>'Part VI-Pro Forma'!I95</f>
        <v>-13151.29539807826</v>
      </c>
      <c r="J833" s="2089">
        <f>'Part VI-Pro Forma'!J95</f>
        <v>-13151.29539807826</v>
      </c>
      <c r="K833" s="2089">
        <f>'Part VI-Pro Forma'!K95</f>
        <v>-13151.29539807826</v>
      </c>
      <c r="N833" s="1920"/>
      <c r="O833" s="1920"/>
    </row>
    <row r="834" spans="1:15">
      <c r="A834" s="251" t="s">
        <v>1413</v>
      </c>
      <c r="B834" s="2089">
        <f>'Part VI-Pro Forma'!B96</f>
        <v>134411.40017153104</v>
      </c>
      <c r="C834" s="2089">
        <f>'Part VI-Pro Forma'!C96</f>
        <v>137592.04822469657</v>
      </c>
      <c r="D834" s="2089">
        <f>'Part VI-Pro Forma'!D96</f>
        <v>140653.84589298946</v>
      </c>
      <c r="E834" s="2089">
        <f>'Part VI-Pro Forma'!E96</f>
        <v>143586.30946833329</v>
      </c>
      <c r="F834" s="2089">
        <f>'Part VI-Pro Forma'!F96</f>
        <v>146381.63976748104</v>
      </c>
      <c r="G834" s="2089">
        <f>'Part VI-Pro Forma'!G96</f>
        <v>149031.71084847642</v>
      </c>
      <c r="H834" s="2089">
        <f>'Part VI-Pro Forma'!H96</f>
        <v>151528.05835223277</v>
      </c>
      <c r="I834" s="2089">
        <f>'Part VI-Pro Forma'!I96</f>
        <v>153859.86745723916</v>
      </c>
      <c r="J834" s="2089">
        <f>'Part VI-Pro Forma'!J96</f>
        <v>156018.96043505703</v>
      </c>
      <c r="K834" s="2089">
        <f>'Part VI-Pro Forma'!K96</f>
        <v>157994.78379386236</v>
      </c>
      <c r="N834" s="1920"/>
      <c r="O834" s="1920"/>
    </row>
    <row r="835" spans="1:15">
      <c r="A835" s="251" t="str">
        <f>$A804</f>
        <v>DCR Mortgage A</v>
      </c>
      <c r="B835" s="2090">
        <f t="shared" ref="B835:K835" si="439">IF(B828=0,"",-B827/B828)</f>
        <v>1.4632228235200209</v>
      </c>
      <c r="C835" s="2090">
        <f t="shared" si="439"/>
        <v>1.4732073847678584</v>
      </c>
      <c r="D835" s="2090">
        <f t="shared" si="439"/>
        <v>1.4828188557123194</v>
      </c>
      <c r="E835" s="2090">
        <f t="shared" si="439"/>
        <v>1.4920243263226038</v>
      </c>
      <c r="F835" s="2090">
        <f t="shared" si="439"/>
        <v>1.5007993137192761</v>
      </c>
      <c r="G835" s="2090">
        <f t="shared" si="439"/>
        <v>1.5091183092752249</v>
      </c>
      <c r="H835" s="2090">
        <f t="shared" si="439"/>
        <v>1.5169547420180227</v>
      </c>
      <c r="I835" s="2090">
        <f t="shared" si="439"/>
        <v>1.5242746624990173</v>
      </c>
      <c r="J835" s="2090">
        <f t="shared" si="439"/>
        <v>1.5310523995250751</v>
      </c>
      <c r="K835" s="2090">
        <f t="shared" si="439"/>
        <v>1.5372548240030888</v>
      </c>
      <c r="N835" s="1920"/>
      <c r="O835" s="1920"/>
    </row>
    <row r="836" spans="1:15">
      <c r="A836" s="251" t="str">
        <f>$A805</f>
        <v>DCR Mortgage B</v>
      </c>
      <c r="B836" s="2090" t="str">
        <f t="shared" ref="B836:K836" si="440">IF(B829=0,"",-(B827+B828)/B829)</f>
        <v/>
      </c>
      <c r="C836" s="2090" t="str">
        <f t="shared" si="440"/>
        <v/>
      </c>
      <c r="D836" s="2090" t="str">
        <f t="shared" si="440"/>
        <v/>
      </c>
      <c r="E836" s="2090" t="str">
        <f t="shared" si="440"/>
        <v/>
      </c>
      <c r="F836" s="2090" t="str">
        <f t="shared" si="440"/>
        <v/>
      </c>
      <c r="G836" s="2090" t="str">
        <f t="shared" si="440"/>
        <v/>
      </c>
      <c r="H836" s="2090" t="str">
        <f t="shared" si="440"/>
        <v/>
      </c>
      <c r="I836" s="2090" t="str">
        <f t="shared" si="440"/>
        <v/>
      </c>
      <c r="J836" s="2090" t="str">
        <f t="shared" si="440"/>
        <v/>
      </c>
      <c r="K836" s="2090" t="str">
        <f t="shared" si="440"/>
        <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1415</v>
      </c>
      <c r="B839" s="2090">
        <f t="shared" ref="B839:K839" si="443">IF(AND(B828=0,B829=0,B830=0,B831=0),"",-B827/(B828+B829+B830+B831))</f>
        <v>1.4632228235200209</v>
      </c>
      <c r="C839" s="2090">
        <f t="shared" si="443"/>
        <v>1.4732073847678584</v>
      </c>
      <c r="D839" s="2090">
        <f t="shared" si="443"/>
        <v>1.4828188557123194</v>
      </c>
      <c r="E839" s="2090">
        <f t="shared" si="443"/>
        <v>1.4920243263226038</v>
      </c>
      <c r="F839" s="2090">
        <f t="shared" si="443"/>
        <v>1.5007993137192761</v>
      </c>
      <c r="G839" s="2090">
        <f t="shared" si="443"/>
        <v>1.5091183092752249</v>
      </c>
      <c r="H839" s="2090">
        <f t="shared" si="443"/>
        <v>1.5169547420180227</v>
      </c>
      <c r="I839" s="2090">
        <f t="shared" si="443"/>
        <v>1.5242746624990173</v>
      </c>
      <c r="J839" s="2090">
        <f t="shared" si="443"/>
        <v>1.5310523995250751</v>
      </c>
      <c r="K839" s="2090">
        <f t="shared" si="443"/>
        <v>1.5372548240030888</v>
      </c>
      <c r="N839" s="1920"/>
      <c r="O839" s="1920"/>
    </row>
    <row r="840" spans="1:15">
      <c r="A840" s="251" t="s">
        <v>1416</v>
      </c>
      <c r="B840" s="2091">
        <f>IF(OR(B824="Choose mgt fee",B824="Choose One!"),"",(B817+B818+B819+B820+B821) / -(B823+B824+B825))</f>
        <v>1.6947363178754657</v>
      </c>
      <c r="C840" s="2091">
        <f t="shared" ref="C840:K840" si="444">IF(OR(C824="Choose mgt fee",C824="Choose One!"),"",(C817+C818+C819+C820+C821) / -(C823+C824+C825))</f>
        <v>1.6796620598099743</v>
      </c>
      <c r="D840" s="2091">
        <f t="shared" si="444"/>
        <v>1.6647139029579867</v>
      </c>
      <c r="E840" s="2091">
        <f t="shared" si="444"/>
        <v>1.6498848746190913</v>
      </c>
      <c r="F840" s="2091">
        <f t="shared" si="444"/>
        <v>1.6351754237990774</v>
      </c>
      <c r="G840" s="2091">
        <f t="shared" si="444"/>
        <v>1.62058585557848</v>
      </c>
      <c r="H840" s="2091">
        <f t="shared" si="444"/>
        <v>1.6061163425562532</v>
      </c>
      <c r="I840" s="2091">
        <f t="shared" si="444"/>
        <v>1.5917630558004066</v>
      </c>
      <c r="J840" s="2091">
        <f t="shared" si="444"/>
        <v>1.5775282338370593</v>
      </c>
      <c r="K840" s="2091">
        <f t="shared" si="444"/>
        <v>1.563410106701677</v>
      </c>
      <c r="N840" s="1920"/>
      <c r="O840" s="1920"/>
    </row>
    <row r="841" spans="1:15">
      <c r="A841" s="251" t="s">
        <v>1417</v>
      </c>
      <c r="B841" s="2089">
        <f>'Part VI-Pro Forma'!B103</f>
        <v>3281107.9519654498</v>
      </c>
      <c r="C841" s="2089">
        <f>'Part VI-Pro Forma'!C103</f>
        <v>3197696.1260961588</v>
      </c>
      <c r="D841" s="2089">
        <f>'Part VI-Pro Forma'!D103</f>
        <v>3108031.8917749012</v>
      </c>
      <c r="E841" s="2089">
        <f>'Part VI-Pro Forma'!E103</f>
        <v>3011646.5791093353</v>
      </c>
      <c r="F841" s="2089">
        <f>'Part VI-Pro Forma'!F103</f>
        <v>2908036.387509936</v>
      </c>
      <c r="G841" s="2089">
        <f>'Part VI-Pro Forma'!G103</f>
        <v>2796659.7523527485</v>
      </c>
      <c r="H841" s="2089">
        <f>'Part VI-Pro Forma'!H103</f>
        <v>2676934.5142516615</v>
      </c>
      <c r="I841" s="2089">
        <f>'Part VI-Pro Forma'!I103</f>
        <v>2548234.876144154</v>
      </c>
      <c r="J841" s="2089">
        <f>'Part VI-Pro Forma'!J103</f>
        <v>2409888.1322853668</v>
      </c>
      <c r="K841" s="2089">
        <f>'Part VI-Pro Forma'!K103</f>
        <v>2261171.1520531406</v>
      </c>
      <c r="N841" s="1920"/>
      <c r="O841" s="1920"/>
    </row>
    <row r="842" spans="1:15">
      <c r="A842" s="251" t="s">
        <v>1418</v>
      </c>
      <c r="B842" s="2089" t="str">
        <f>'Part VI-Pro Forma'!B104</f>
        <v/>
      </c>
      <c r="C842" s="2089" t="str">
        <f>'Part VI-Pro Forma'!C104</f>
        <v/>
      </c>
      <c r="D842" s="2089" t="str">
        <f>'Part VI-Pro Forma'!D104</f>
        <v/>
      </c>
      <c r="E842" s="2089" t="str">
        <f>'Part VI-Pro Forma'!E104</f>
        <v/>
      </c>
      <c r="F842" s="2089" t="str">
        <f>'Part VI-Pro Forma'!F104</f>
        <v/>
      </c>
      <c r="G842" s="2089" t="str">
        <f>'Part VI-Pro Forma'!G104</f>
        <v/>
      </c>
      <c r="H842" s="2089" t="str">
        <f>'Part VI-Pro Forma'!H104</f>
        <v/>
      </c>
      <c r="I842" s="2089" t="str">
        <f>'Part VI-Pro Forma'!I104</f>
        <v/>
      </c>
      <c r="J842" s="2089" t="str">
        <f>'Part VI-Pro Forma'!J104</f>
        <v/>
      </c>
      <c r="K842" s="2089" t="str">
        <f>'Part VI-Pro Forma'!K104</f>
        <v/>
      </c>
      <c r="N842" s="1920"/>
      <c r="O842" s="1920"/>
    </row>
    <row r="843" spans="1:15">
      <c r="A843" s="251" t="s">
        <v>1419</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1420</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479</v>
      </c>
      <c r="B846" s="2092">
        <f>K816+1</f>
        <v>31</v>
      </c>
      <c r="C846" s="2092">
        <f>B846+1</f>
        <v>32</v>
      </c>
      <c r="D846" s="2092">
        <f>C846+1</f>
        <v>33</v>
      </c>
      <c r="E846" s="2092">
        <f>D846+1</f>
        <v>34</v>
      </c>
      <c r="F846" s="2092">
        <f>E846+1</f>
        <v>35</v>
      </c>
      <c r="G846" s="2089"/>
      <c r="H846" s="2089"/>
      <c r="I846" s="2089"/>
      <c r="J846" s="2089"/>
      <c r="K846" s="2089"/>
      <c r="N846" s="255" t="s">
        <v>1424</v>
      </c>
      <c r="O846" s="255"/>
    </row>
    <row r="847" spans="1:15">
      <c r="A847" s="251" t="s">
        <v>1395</v>
      </c>
      <c r="B847" s="2089">
        <f>'Part VI-Pro Forma'!B109</f>
        <v>1461160.1808791475</v>
      </c>
      <c r="C847" s="2089">
        <f>'Part VI-Pro Forma'!C109</f>
        <v>1490383.3844967301</v>
      </c>
      <c r="D847" s="2089">
        <f>'Part VI-Pro Forma'!D109</f>
        <v>1520191.0521866651</v>
      </c>
      <c r="E847" s="2089">
        <f>'Part VI-Pro Forma'!E109</f>
        <v>1550594.8732303984</v>
      </c>
      <c r="F847" s="2089">
        <f>'Part VI-Pro Forma'!F109</f>
        <v>1581606.7706950062</v>
      </c>
      <c r="G847" s="2089"/>
      <c r="H847" s="2089"/>
      <c r="I847" s="2089"/>
      <c r="J847" s="2089"/>
      <c r="K847" s="2089"/>
      <c r="N847" s="1920"/>
      <c r="O847" s="1920"/>
    </row>
    <row r="848" spans="1:15">
      <c r="A848" s="251" t="s">
        <v>1280</v>
      </c>
      <c r="B848" s="2089">
        <f>'Part VI-Pro Forma'!B110</f>
        <v>29223.203617582953</v>
      </c>
      <c r="C848" s="2089">
        <f>'Part VI-Pro Forma'!C110</f>
        <v>29807.667689934602</v>
      </c>
      <c r="D848" s="2089">
        <f>'Part VI-Pro Forma'!D110</f>
        <v>30403.821043733304</v>
      </c>
      <c r="E848" s="2089">
        <f>'Part VI-Pro Forma'!E110</f>
        <v>31011.89746460797</v>
      </c>
      <c r="F848" s="2089">
        <f>'Part VI-Pro Forma'!F110</f>
        <v>31632.135413900127</v>
      </c>
      <c r="G848" s="2089"/>
      <c r="H848" s="2089"/>
      <c r="I848" s="2089"/>
      <c r="J848" s="2089"/>
      <c r="K848" s="2089"/>
      <c r="N848" s="1920"/>
      <c r="O848" s="1920"/>
    </row>
    <row r="849" spans="1:19">
      <c r="A849" s="251" t="s">
        <v>1398</v>
      </c>
      <c r="B849" s="2089">
        <f>'Part VI-Pro Forma'!B111</f>
        <v>-104326.83691477115</v>
      </c>
      <c r="C849" s="2089">
        <f>'Part VI-Pro Forma'!C111</f>
        <v>-106413.37365306653</v>
      </c>
      <c r="D849" s="2089">
        <f>'Part VI-Pro Forma'!D111</f>
        <v>-108541.6411261279</v>
      </c>
      <c r="E849" s="2089">
        <f>'Part VI-Pro Forma'!E111</f>
        <v>-110712.47394865047</v>
      </c>
      <c r="F849" s="2089">
        <f>'Part VI-Pro Forma'!F111</f>
        <v>-112926.72342762345</v>
      </c>
      <c r="G849" s="2089"/>
      <c r="H849" s="2089"/>
      <c r="I849" s="2089"/>
      <c r="J849" s="2089"/>
      <c r="K849" s="2089"/>
      <c r="N849" s="1920"/>
      <c r="O849" s="1920"/>
    </row>
    <row r="850" spans="1:19">
      <c r="A850" s="251" t="s">
        <v>1401</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1402</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1403</v>
      </c>
      <c r="B852" s="2089">
        <f>'Part VI-Pro Forma'!B114</f>
        <v>1386056.5475819593</v>
      </c>
      <c r="C852" s="2089">
        <f>'Part VI-Pro Forma'!C114</f>
        <v>1413777.6785335981</v>
      </c>
      <c r="D852" s="2089">
        <f>'Part VI-Pro Forma'!D114</f>
        <v>1442053.2321042705</v>
      </c>
      <c r="E852" s="2089">
        <f>'Part VI-Pro Forma'!E114</f>
        <v>1470894.2967463559</v>
      </c>
      <c r="F852" s="2089">
        <f>'Part VI-Pro Forma'!F114</f>
        <v>1500312.1826812827</v>
      </c>
      <c r="G852" s="2089"/>
      <c r="H852" s="2089"/>
      <c r="I852" s="2089"/>
      <c r="J852" s="2089"/>
      <c r="K852" s="2089"/>
      <c r="N852" s="1920"/>
      <c r="O852" s="1920"/>
    </row>
    <row r="853" spans="1:19">
      <c r="A853" s="251" t="s">
        <v>1404</v>
      </c>
      <c r="B853" s="2089">
        <f>'Part VI-Pro Forma'!B115</f>
        <v>-781578.51572307025</v>
      </c>
      <c r="C853" s="2089">
        <f>'Part VI-Pro Forma'!C115</f>
        <v>-805025.87119476253</v>
      </c>
      <c r="D853" s="2089">
        <f>'Part VI-Pro Forma'!D115</f>
        <v>-829176.64733060519</v>
      </c>
      <c r="E853" s="2089">
        <f>'Part VI-Pro Forma'!E115</f>
        <v>-854051.94675052341</v>
      </c>
      <c r="F853" s="2089">
        <f>'Part VI-Pro Forma'!F115</f>
        <v>-879673.50515303889</v>
      </c>
      <c r="G853" s="2089"/>
      <c r="H853" s="2089"/>
      <c r="I853" s="2089"/>
      <c r="J853" s="2089"/>
      <c r="K853" s="2089"/>
      <c r="N853" s="1920"/>
      <c r="O853" s="1920"/>
    </row>
    <row r="854" spans="1:19">
      <c r="A854" s="251" t="s">
        <v>1405</v>
      </c>
      <c r="B854" s="2089">
        <f>'Part VI-Pro Forma'!B116</f>
        <v>-69303</v>
      </c>
      <c r="C854" s="2089">
        <f>'Part VI-Pro Forma'!C116</f>
        <v>-70689</v>
      </c>
      <c r="D854" s="2089">
        <f>'Part VI-Pro Forma'!D116</f>
        <v>-72103</v>
      </c>
      <c r="E854" s="2089">
        <f>'Part VI-Pro Forma'!E116</f>
        <v>-73545</v>
      </c>
      <c r="F854" s="2089">
        <f>'Part VI-Pro Forma'!F116</f>
        <v>-75016</v>
      </c>
      <c r="G854" s="2089"/>
      <c r="H854" s="2089"/>
      <c r="I854" s="2089"/>
      <c r="J854" s="2089"/>
      <c r="K854" s="2089"/>
      <c r="N854" s="1920"/>
      <c r="O854" s="1920"/>
    </row>
    <row r="855" spans="1:19">
      <c r="A855" s="251" t="s">
        <v>1406</v>
      </c>
      <c r="B855" s="2089">
        <f>'Part VI-Pro Forma'!B117</f>
        <v>-43690.724481413861</v>
      </c>
      <c r="C855" s="2089">
        <f>'Part VI-Pro Forma'!C117</f>
        <v>-45001.446215856289</v>
      </c>
      <c r="D855" s="2089">
        <f>'Part VI-Pro Forma'!D117</f>
        <v>-46351.489602331967</v>
      </c>
      <c r="E855" s="2089">
        <f>'Part VI-Pro Forma'!E117</f>
        <v>-47742.034290401927</v>
      </c>
      <c r="F855" s="2089">
        <f>'Part VI-Pro Forma'!F117</f>
        <v>-49174.295319113975</v>
      </c>
      <c r="G855" s="2089"/>
      <c r="H855" s="2089"/>
      <c r="I855" s="2089"/>
      <c r="J855" s="2089"/>
      <c r="K855" s="2089"/>
      <c r="N855" s="1920"/>
      <c r="O855" s="1920"/>
      <c r="Q855" s="1185">
        <v>10</v>
      </c>
      <c r="R855" s="1297">
        <f>-SUM(B861:K861)</f>
        <v>0</v>
      </c>
      <c r="S855" s="1297">
        <f>SUM(B862:K862)+R855</f>
        <v>0</v>
      </c>
    </row>
    <row r="856" spans="1:19">
      <c r="A856" s="251" t="s">
        <v>1407</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1408</v>
      </c>
      <c r="B857" s="2089">
        <f>SUM(B852:B856)</f>
        <v>491484.3073774752</v>
      </c>
      <c r="C857" s="2089">
        <f t="shared" ref="C857:F857" si="445">SUM(C852:C856)</f>
        <v>493061.36112297926</v>
      </c>
      <c r="D857" s="2089">
        <f t="shared" si="445"/>
        <v>494422.09517133335</v>
      </c>
      <c r="E857" s="2089">
        <f t="shared" si="445"/>
        <v>495555.31570543064</v>
      </c>
      <c r="F857" s="2089">
        <f t="shared" si="445"/>
        <v>496448.38220912986</v>
      </c>
      <c r="G857" s="2089"/>
      <c r="H857" s="2089"/>
      <c r="I857" s="2089"/>
      <c r="J857" s="2089"/>
      <c r="K857" s="2089"/>
      <c r="N857" s="1920"/>
      <c r="O857" s="1920"/>
    </row>
    <row r="858" spans="1:19">
      <c r="A858" s="251" t="str">
        <f>$A828</f>
        <v>Mortgage A</v>
      </c>
      <c r="B858" s="2089">
        <f>'Part VI-Pro Forma'!B120</f>
        <v>-318556.61698247807</v>
      </c>
      <c r="C858" s="2089">
        <f>'Part VI-Pro Forma'!C120</f>
        <v>-318556.61698247807</v>
      </c>
      <c r="D858" s="2089">
        <f>'Part VI-Pro Forma'!D120</f>
        <v>-318556.61698247807</v>
      </c>
      <c r="E858" s="2089">
        <f>'Part VI-Pro Forma'!E120</f>
        <v>-318556.61698247807</v>
      </c>
      <c r="F858" s="2089">
        <f>'Part VI-Pro Forma'!F120</f>
        <v>-318556.61698247807</v>
      </c>
      <c r="G858" s="2089"/>
      <c r="H858" s="2089"/>
      <c r="I858" s="2089"/>
      <c r="J858" s="2089"/>
      <c r="K858" s="2089"/>
      <c r="N858" s="1920"/>
      <c r="O858" s="1920"/>
    </row>
    <row r="859" spans="1:19">
      <c r="A859" s="251" t="str">
        <f>$A829</f>
        <v>Mortgage B</v>
      </c>
      <c r="B859" s="2089">
        <f>'Part VI-Pro Forma'!B121</f>
        <v>0</v>
      </c>
      <c r="C859" s="2089">
        <f>'Part VI-Pro Forma'!C121</f>
        <v>0</v>
      </c>
      <c r="D859" s="2089">
        <f>'Part VI-Pro Forma'!D121</f>
        <v>0</v>
      </c>
      <c r="E859" s="2089">
        <f>'Part VI-Pro Forma'!E121</f>
        <v>0</v>
      </c>
      <c r="F859" s="2089">
        <f>'Part VI-Pro Forma'!F121</f>
        <v>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1410</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1411</v>
      </c>
      <c r="B863" s="2089">
        <f>'Part VI-Pro Forma'!B125</f>
        <v>-13151.29539807826</v>
      </c>
      <c r="C863" s="2089">
        <f>'Part VI-Pro Forma'!C125</f>
        <v>-13151.29539807826</v>
      </c>
      <c r="D863" s="2089">
        <f>'Part VI-Pro Forma'!D125</f>
        <v>-13151.29539807826</v>
      </c>
      <c r="E863" s="2089">
        <f>'Part VI-Pro Forma'!E125</f>
        <v>-13151.29539807826</v>
      </c>
      <c r="F863" s="2089">
        <f>'Part VI-Pro Forma'!F125</f>
        <v>-13151.29539807826</v>
      </c>
      <c r="G863" s="2089"/>
      <c r="H863" s="2089"/>
      <c r="I863" s="2089"/>
      <c r="J863" s="2089"/>
      <c r="K863" s="2089"/>
      <c r="N863" s="1920"/>
      <c r="O863" s="1920"/>
    </row>
    <row r="864" spans="1:19">
      <c r="A864" s="251" t="s">
        <v>1413</v>
      </c>
      <c r="B864" s="2089">
        <f>'Part VI-Pro Forma'!B126</f>
        <v>159776.39499691888</v>
      </c>
      <c r="C864" s="2089">
        <f>'Part VI-Pro Forma'!C126</f>
        <v>161353.44874242294</v>
      </c>
      <c r="D864" s="2089">
        <f>'Part VI-Pro Forma'!D126</f>
        <v>162714.18279077703</v>
      </c>
      <c r="E864" s="2089">
        <f>'Part VI-Pro Forma'!E126</f>
        <v>163847.40332487432</v>
      </c>
      <c r="F864" s="2089">
        <f>'Part VI-Pro Forma'!F126</f>
        <v>164740.46982857355</v>
      </c>
      <c r="G864" s="2089"/>
      <c r="H864" s="2089"/>
      <c r="I864" s="2089"/>
      <c r="J864" s="2089"/>
      <c r="K864" s="2089"/>
      <c r="N864" s="1920"/>
      <c r="O864" s="1920"/>
    </row>
    <row r="865" spans="1:15">
      <c r="A865" s="251" t="str">
        <f>$A835</f>
        <v>DCR Mortgage A</v>
      </c>
      <c r="B865" s="2090">
        <f>IF(B858=0,"",-B857/B858)</f>
        <v>1.5428475855659556</v>
      </c>
      <c r="C865" s="2090">
        <f>IF(C858=0,"",-C857/C858)</f>
        <v>1.5477982086622286</v>
      </c>
      <c r="D865" s="2090">
        <f>IF(D858=0,"",-D857/D858)</f>
        <v>1.5520697697468597</v>
      </c>
      <c r="E865" s="2090">
        <f>IF(E858=0,"",-E857/E858)</f>
        <v>1.5556271296436082</v>
      </c>
      <c r="F865" s="2090">
        <f>IF(F858=0,"",-F857/F858)</f>
        <v>1.5584306077573538</v>
      </c>
      <c r="G865" s="2089"/>
      <c r="H865" s="2089"/>
      <c r="I865" s="2089"/>
      <c r="J865" s="2089"/>
      <c r="K865" s="2089"/>
      <c r="N865" s="1920"/>
      <c r="O865" s="1920"/>
    </row>
    <row r="866" spans="1:15">
      <c r="A866" s="251" t="str">
        <f>$A836</f>
        <v>DCR Mortgage B</v>
      </c>
      <c r="B866" s="2090" t="str">
        <f>IF(B859=0,"",-(B857+B858)/B859)</f>
        <v/>
      </c>
      <c r="C866" s="2090" t="str">
        <f>IF(C859=0,"",-(C857+C858)/C859)</f>
        <v/>
      </c>
      <c r="D866" s="2090" t="str">
        <f>IF(D859=0,"",-(D857+D858)/D859)</f>
        <v/>
      </c>
      <c r="E866" s="2090" t="str">
        <f>IF(E859=0,"",-(E857+E858)/E859)</f>
        <v/>
      </c>
      <c r="F866" s="2090" t="str">
        <f>IF(F859=0,"",-(F857+F858)/F859)</f>
        <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1415</v>
      </c>
      <c r="B869" s="2090">
        <f>IF(AND(B858=0,B859=0,B860=0,B861=0),"",-B857/(B858+B859+B860+B861))</f>
        <v>1.5428475855659556</v>
      </c>
      <c r="C869" s="2090">
        <f>IF(AND(C858=0,C859=0,C860=0,C861=0),"",-C857/(C858+C859+C860+C861))</f>
        <v>1.5477982086622286</v>
      </c>
      <c r="D869" s="2090">
        <f>IF(AND(D858=0,D859=0,D860=0,D861=0),"",-D857/(D858+D859+D860+D861))</f>
        <v>1.5520697697468597</v>
      </c>
      <c r="E869" s="2090">
        <f>IF(AND(E858=0,E859=0,E860=0,E861=0),"",-E857/(E858+E859+E860+E861))</f>
        <v>1.5556271296436082</v>
      </c>
      <c r="F869" s="2090">
        <f>IF(AND(F858=0,F859=0,F860=0,F861=0),"",-F857/(F858+F859+F860+F861))</f>
        <v>1.5584306077573538</v>
      </c>
      <c r="G869" s="2089"/>
      <c r="H869" s="2089"/>
      <c r="I869" s="2089"/>
      <c r="J869" s="2089"/>
      <c r="K869" s="2089"/>
      <c r="N869" s="1920"/>
      <c r="O869" s="1920"/>
    </row>
    <row r="870" spans="1:15">
      <c r="A870" s="251" t="s">
        <v>1416</v>
      </c>
      <c r="B870" s="2091">
        <f>IF(OR(B854="Choose mgt fee",B854="Choose One!"),"",(B847+B848+B849+B850+B851) / -(B853+B854+B855))</f>
        <v>1.54940706327432</v>
      </c>
      <c r="C870" s="2091">
        <f>IF(OR(C854="Choose mgt fee",C854="Choose One!"),"",(C847+C848+C849+C850+C851) / -(C853+C854+C855))</f>
        <v>1.5355193036109569</v>
      </c>
      <c r="D870" s="2091">
        <f>IF(OR(D854="Choose mgt fee",D854="Choose One!"),"",(D847+D848+D849+D850+D851) / -(D853+D854+D855))</f>
        <v>1.5217453035276562</v>
      </c>
      <c r="E870" s="2091">
        <f>IF(OR(E854="Choose mgt fee",E854="Choose One!"),"",(E847+E848+E849+E850+E851) / -(E853+E854+E855))</f>
        <v>1.5080852148209556</v>
      </c>
      <c r="F870" s="2091">
        <f>IF(OR(F854="Choose mgt fee",F854="Choose One!"),"",(F847+F848+F849+F850+F851) / -(F853+F854+F855))</f>
        <v>1.4945375876444917</v>
      </c>
      <c r="G870" s="2089"/>
      <c r="H870" s="2089"/>
      <c r="I870" s="2089"/>
      <c r="J870" s="2089"/>
      <c r="K870" s="2089"/>
      <c r="N870" s="1920"/>
      <c r="O870" s="1920"/>
    </row>
    <row r="871" spans="1:15">
      <c r="A871" s="251" t="s">
        <v>1417</v>
      </c>
      <c r="B871" s="2089">
        <f>'Part VI-Pro Forma'!B133</f>
        <v>2101306.6001850655</v>
      </c>
      <c r="C871" s="2089">
        <f>'Part VI-Pro Forma'!C133</f>
        <v>1929458.8736909358</v>
      </c>
      <c r="D871" s="2089">
        <f>'Part VI-Pro Forma'!D133</f>
        <v>1744729.7342030802</v>
      </c>
      <c r="E871" s="2089">
        <f>'Part VI-Pro Forma'!E133</f>
        <v>1546153.6129351079</v>
      </c>
      <c r="F871" s="2089">
        <f>'Part VI-Pro Forma'!F133</f>
        <v>1332692.5637083573</v>
      </c>
      <c r="G871" s="2089"/>
      <c r="H871" s="2089"/>
      <c r="I871" s="2089"/>
      <c r="J871" s="2089"/>
      <c r="K871" s="2089"/>
      <c r="N871" s="1920"/>
      <c r="O871" s="1920"/>
    </row>
    <row r="872" spans="1:15">
      <c r="A872" s="251" t="s">
        <v>1418</v>
      </c>
      <c r="B872" s="2089" t="str">
        <f>'Part VI-Pro Forma'!B134</f>
        <v/>
      </c>
      <c r="C872" s="2089" t="str">
        <f>'Part VI-Pro Forma'!C134</f>
        <v/>
      </c>
      <c r="D872" s="2089" t="str">
        <f>'Part VI-Pro Forma'!D134</f>
        <v/>
      </c>
      <c r="E872" s="2089" t="str">
        <f>'Part VI-Pro Forma'!E134</f>
        <v/>
      </c>
      <c r="F872" s="2089" t="str">
        <f>'Part VI-Pro Forma'!F134</f>
        <v/>
      </c>
      <c r="G872" s="2089"/>
      <c r="H872" s="2089"/>
      <c r="I872" s="2089"/>
      <c r="J872" s="2089"/>
      <c r="K872" s="2089"/>
      <c r="N872" s="1920"/>
      <c r="O872" s="1920"/>
    </row>
    <row r="873" spans="1:15">
      <c r="A873" s="251" t="s">
        <v>1419</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1420</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1426</v>
      </c>
      <c r="B876" s="255"/>
      <c r="G876" s="255" t="s">
        <v>1427</v>
      </c>
    </row>
    <row r="877" spans="1:15">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288</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Westchester Village II,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7566</v>
      </c>
      <c r="Q885" s="2093" t="s">
        <v>1430</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XX,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1431</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5">
      <c r="A891" s="2100" t="s">
        <v>7567</v>
      </c>
      <c r="B891" s="2101"/>
      <c r="C891" s="2101"/>
      <c r="D891" s="2101"/>
      <c r="E891" s="2101"/>
      <c r="F891" s="2101"/>
      <c r="G891" s="2101"/>
      <c r="H891" s="2101"/>
      <c r="I891" s="1750"/>
      <c r="J891" s="1750"/>
      <c r="K891" s="1745"/>
      <c r="L891" s="1745"/>
      <c r="M891" s="1745"/>
      <c r="N891" s="1745"/>
      <c r="O891" s="1745"/>
      <c r="P891" s="1750"/>
      <c r="Q891" s="1750"/>
    </row>
    <row r="892" spans="1:17" ht="15">
      <c r="A892" s="2102" t="s">
        <v>1433</v>
      </c>
      <c r="B892" s="2101"/>
      <c r="C892" s="2101"/>
      <c r="D892" s="2101"/>
      <c r="E892" s="2101"/>
      <c r="F892" s="2101"/>
      <c r="G892" s="2101"/>
      <c r="H892" s="1745"/>
      <c r="I892" s="1750"/>
      <c r="J892" s="1750"/>
      <c r="K892" s="1745"/>
      <c r="L892" s="1745"/>
      <c r="M892" s="1748"/>
      <c r="N892" s="1748"/>
      <c r="O892" s="2101"/>
      <c r="P892" s="2101"/>
      <c r="Q892" s="2101"/>
    </row>
    <row r="893" spans="1:17">
      <c r="A893" s="2103" t="s">
        <v>1434</v>
      </c>
      <c r="B893" s="2103"/>
      <c r="C893" s="2103"/>
      <c r="D893" s="2103"/>
      <c r="E893" s="2103"/>
      <c r="F893" s="2103"/>
      <c r="G893" s="2103"/>
      <c r="H893" s="2103"/>
      <c r="I893" s="2103"/>
      <c r="J893" s="2103"/>
      <c r="K893" s="2103"/>
      <c r="L893" s="2103"/>
      <c r="M893" s="2103"/>
      <c r="N893" s="2103"/>
      <c r="O893" s="2103"/>
      <c r="P893" s="2103"/>
      <c r="Q893" s="2103"/>
    </row>
    <row r="894" spans="1:17">
      <c r="A894" s="2103" t="s">
        <v>1435</v>
      </c>
      <c r="B894" s="2103"/>
      <c r="C894" s="2103"/>
      <c r="D894" s="2103"/>
      <c r="E894" s="2103"/>
      <c r="F894" s="2103"/>
      <c r="G894" s="2103"/>
      <c r="H894" s="2103"/>
      <c r="I894" s="2103"/>
      <c r="J894" s="2103"/>
      <c r="K894" s="2103"/>
      <c r="L894" s="2103"/>
      <c r="M894" s="2103"/>
      <c r="N894" s="2103"/>
      <c r="O894" s="2103"/>
      <c r="P894" s="2103"/>
      <c r="Q894" s="2103"/>
    </row>
    <row r="895" spans="1:17">
      <c r="A895" s="2103" t="s">
        <v>1436</v>
      </c>
      <c r="B895" s="2103"/>
      <c r="C895" s="2103"/>
      <c r="D895" s="2103"/>
      <c r="E895" s="2103"/>
      <c r="F895" s="2103"/>
      <c r="G895" s="2103"/>
      <c r="H895" s="2103"/>
      <c r="I895" s="2103"/>
      <c r="J895" s="2103"/>
      <c r="K895" s="2103"/>
      <c r="L895" s="2103"/>
      <c r="M895" s="2103"/>
      <c r="N895" s="2103"/>
      <c r="O895" s="2103"/>
      <c r="P895" s="2103"/>
      <c r="Q895" s="2103"/>
    </row>
    <row r="896" spans="1:17">
      <c r="A896" s="2103" t="s">
        <v>1437</v>
      </c>
      <c r="B896" s="2103"/>
      <c r="C896" s="2103"/>
      <c r="D896" s="2103"/>
      <c r="E896" s="2103"/>
      <c r="F896" s="2103"/>
      <c r="G896" s="2103"/>
      <c r="H896" s="2103"/>
      <c r="I896" s="2103"/>
      <c r="J896" s="2103"/>
      <c r="K896" s="2103"/>
      <c r="L896" s="2103"/>
      <c r="M896" s="2103"/>
      <c r="N896" s="2103"/>
      <c r="O896" s="2103"/>
      <c r="P896" s="2103"/>
      <c r="Q896" s="2103"/>
    </row>
    <row r="897" spans="1:17">
      <c r="A897" s="2103" t="s">
        <v>1438</v>
      </c>
      <c r="B897" s="2103"/>
      <c r="C897" s="2103"/>
      <c r="D897" s="2103"/>
      <c r="E897" s="2103"/>
      <c r="F897" s="2103"/>
      <c r="G897" s="2103"/>
      <c r="H897" s="2103"/>
      <c r="I897" s="2103"/>
      <c r="J897" s="2103"/>
      <c r="K897" s="2103"/>
      <c r="L897" s="2103"/>
      <c r="M897" s="2103"/>
      <c r="N897" s="2103"/>
      <c r="O897" s="2103"/>
      <c r="P897" s="2103"/>
      <c r="Q897" s="2103"/>
    </row>
    <row r="898" spans="1:17">
      <c r="A898" s="2103" t="s">
        <v>1439</v>
      </c>
      <c r="B898" s="2103"/>
      <c r="C898" s="2103"/>
      <c r="D898" s="2103"/>
      <c r="E898" s="2103"/>
      <c r="F898" s="2103"/>
      <c r="G898" s="2103"/>
      <c r="H898" s="2103"/>
      <c r="I898" s="2103"/>
      <c r="J898" s="2103"/>
      <c r="K898" s="2103"/>
      <c r="L898" s="2103"/>
      <c r="M898" s="2103"/>
      <c r="N898" s="2103"/>
      <c r="O898" s="2103"/>
      <c r="P898" s="2103"/>
      <c r="Q898" s="2103"/>
    </row>
    <row r="899" spans="1:17">
      <c r="A899" s="2103" t="s">
        <v>1440</v>
      </c>
      <c r="B899" s="2103"/>
      <c r="C899" s="2103"/>
      <c r="D899" s="2103"/>
      <c r="E899" s="2103"/>
      <c r="F899" s="2103"/>
      <c r="G899" s="2103"/>
      <c r="H899" s="2103"/>
      <c r="I899" s="2103"/>
      <c r="J899" s="2103"/>
      <c r="K899" s="2103"/>
      <c r="L899" s="2103"/>
      <c r="M899" s="2103"/>
      <c r="N899" s="2103"/>
      <c r="O899" s="2103"/>
      <c r="P899" s="2103"/>
      <c r="Q899" s="2103"/>
    </row>
    <row r="900" spans="1:17">
      <c r="A900" s="2103" t="s">
        <v>1441</v>
      </c>
      <c r="B900" s="2103"/>
      <c r="C900" s="2103"/>
      <c r="D900" s="2103"/>
      <c r="E900" s="2103"/>
      <c r="F900" s="2103"/>
      <c r="G900" s="2103"/>
      <c r="H900" s="2103"/>
      <c r="I900" s="2103"/>
      <c r="J900" s="2103"/>
      <c r="K900" s="2103"/>
      <c r="L900" s="2103"/>
      <c r="M900" s="2103"/>
      <c r="N900" s="2103"/>
      <c r="O900" s="2103"/>
      <c r="P900" s="2103"/>
      <c r="Q900" s="2103"/>
    </row>
    <row r="901" spans="1:17">
      <c r="A901" s="2103" t="s">
        <v>1442</v>
      </c>
      <c r="B901" s="2103"/>
      <c r="C901" s="2103"/>
      <c r="D901" s="2103"/>
      <c r="E901" s="2103"/>
      <c r="F901" s="2103"/>
      <c r="G901" s="2103"/>
      <c r="H901" s="2103"/>
      <c r="I901" s="2103"/>
      <c r="J901" s="2103"/>
      <c r="K901" s="2103"/>
      <c r="L901" s="2103"/>
      <c r="M901" s="2103"/>
      <c r="N901" s="2103"/>
      <c r="O901" s="2103"/>
      <c r="P901" s="2103"/>
      <c r="Q901" s="2103"/>
    </row>
    <row r="902" spans="1:17">
      <c r="A902" s="2103" t="s">
        <v>1443</v>
      </c>
      <c r="B902" s="2103"/>
      <c r="C902" s="2103"/>
      <c r="D902" s="2103"/>
      <c r="E902" s="2103"/>
      <c r="F902" s="2103"/>
      <c r="G902" s="2103"/>
      <c r="H902" s="2103"/>
      <c r="I902" s="2103"/>
      <c r="J902" s="2103"/>
      <c r="K902" s="2103"/>
      <c r="L902" s="2103"/>
      <c r="M902" s="2103"/>
      <c r="N902" s="2103"/>
      <c r="O902" s="2103"/>
      <c r="P902" s="2103"/>
      <c r="Q902" s="2103"/>
    </row>
    <row r="903" spans="1:17">
      <c r="A903" s="2103" t="s">
        <v>1444</v>
      </c>
      <c r="B903" s="2103"/>
      <c r="C903" s="2103"/>
      <c r="D903" s="2103"/>
      <c r="E903" s="2103"/>
      <c r="F903" s="2103"/>
      <c r="G903" s="2103"/>
      <c r="H903" s="2103"/>
      <c r="I903" s="2103"/>
      <c r="J903" s="2103"/>
      <c r="K903" s="2103"/>
      <c r="L903" s="2103"/>
      <c r="M903" s="2103"/>
      <c r="N903" s="2103"/>
      <c r="O903" s="2103"/>
      <c r="P903" s="2103"/>
      <c r="Q903" s="2103"/>
    </row>
    <row r="904" spans="1:17">
      <c r="A904" s="2103" t="s">
        <v>1445</v>
      </c>
      <c r="B904" s="2103"/>
      <c r="C904" s="2103"/>
      <c r="D904" s="2103"/>
      <c r="E904" s="2103"/>
      <c r="F904" s="2103"/>
      <c r="G904" s="2103"/>
      <c r="H904" s="2103"/>
      <c r="I904" s="2103"/>
      <c r="J904" s="2103"/>
      <c r="K904" s="2103"/>
      <c r="L904" s="2103"/>
      <c r="M904" s="2103"/>
      <c r="N904" s="2103"/>
      <c r="O904" s="2103"/>
      <c r="P904" s="2103"/>
      <c r="Q904" s="2103"/>
    </row>
    <row r="905" spans="1:17">
      <c r="A905" s="2103" t="s">
        <v>1446</v>
      </c>
      <c r="B905" s="2103"/>
      <c r="C905" s="2103"/>
      <c r="D905" s="2103"/>
      <c r="E905" s="2103"/>
      <c r="F905" s="2103"/>
      <c r="G905" s="2103"/>
      <c r="H905" s="2103"/>
      <c r="I905" s="2103"/>
      <c r="J905" s="2103"/>
      <c r="K905" s="2103"/>
      <c r="L905" s="2103"/>
      <c r="M905" s="2103"/>
      <c r="N905" s="2103"/>
      <c r="O905" s="2103"/>
      <c r="P905" s="2103"/>
      <c r="Q905" s="2103"/>
    </row>
    <row r="906" spans="1:17">
      <c r="A906" s="2103" t="s">
        <v>1447</v>
      </c>
      <c r="B906" s="2103"/>
      <c r="C906" s="2103"/>
      <c r="D906" s="2103"/>
      <c r="E906" s="2103"/>
      <c r="F906" s="2103"/>
      <c r="G906" s="2103"/>
      <c r="H906" s="2103"/>
      <c r="I906" s="2103"/>
      <c r="J906" s="2103"/>
      <c r="K906" s="2103"/>
      <c r="L906" s="2103"/>
      <c r="M906" s="2103"/>
      <c r="N906" s="2103"/>
      <c r="O906" s="2103"/>
      <c r="P906" s="2103"/>
      <c r="Q906" s="2103"/>
    </row>
    <row r="907" spans="1:17">
      <c r="A907" s="2103" t="s">
        <v>1448</v>
      </c>
      <c r="B907" s="2103"/>
      <c r="C907" s="2103"/>
      <c r="D907" s="2103"/>
      <c r="E907" s="2103"/>
      <c r="F907" s="2103"/>
      <c r="G907" s="2103"/>
      <c r="H907" s="2103"/>
      <c r="I907" s="2103"/>
      <c r="J907" s="2103"/>
      <c r="K907" s="2103"/>
      <c r="L907" s="2103"/>
      <c r="M907" s="2103"/>
      <c r="N907" s="2103"/>
      <c r="O907" s="2103"/>
      <c r="P907" s="2103"/>
      <c r="Q907" s="2103"/>
    </row>
    <row r="908" spans="1:17" ht="14.25">
      <c r="A908" s="2101"/>
      <c r="B908" s="2101"/>
      <c r="C908" s="2101"/>
      <c r="D908" s="2101"/>
      <c r="E908" s="2101"/>
      <c r="F908" s="2101"/>
      <c r="G908" s="2101"/>
      <c r="H908" s="2101"/>
      <c r="I908" s="2101"/>
      <c r="J908" s="2101"/>
      <c r="K908" s="2101"/>
      <c r="L908" s="2101"/>
      <c r="M908" s="2101"/>
      <c r="N908" s="2101"/>
      <c r="O908" s="2101"/>
      <c r="P908" s="2101"/>
      <c r="Q908" s="2101"/>
    </row>
    <row r="909" spans="1:17" ht="15">
      <c r="A909" s="2104" t="s">
        <v>21</v>
      </c>
      <c r="B909" s="1750" t="s">
        <v>1449</v>
      </c>
      <c r="C909" s="1750"/>
      <c r="D909" s="1750"/>
      <c r="E909" s="1750"/>
      <c r="F909" s="1750"/>
      <c r="G909" s="1750"/>
      <c r="H909" s="1745"/>
      <c r="I909" s="1747"/>
      <c r="J909" s="1747"/>
      <c r="K909" s="1747"/>
      <c r="L909" s="1748"/>
      <c r="M909" s="1748"/>
      <c r="N909" s="1745"/>
      <c r="O909" s="2105" t="s">
        <v>1450</v>
      </c>
      <c r="P909" s="1750"/>
      <c r="Q909" s="1750"/>
    </row>
    <row r="910" spans="1:17" ht="15">
      <c r="A910" s="1745"/>
      <c r="B910" s="2106" t="s">
        <v>1451</v>
      </c>
      <c r="C910" s="2106"/>
      <c r="D910" s="2106"/>
      <c r="E910" s="2106"/>
      <c r="F910" s="2106"/>
      <c r="G910" s="1747"/>
      <c r="H910" s="1747"/>
      <c r="I910" s="1747"/>
      <c r="J910" s="1747"/>
      <c r="K910" s="1748"/>
      <c r="L910" s="1748"/>
      <c r="M910" s="1748"/>
      <c r="N910" s="1748"/>
      <c r="O910" s="1748"/>
      <c r="P910" s="1750"/>
      <c r="Q910" s="1745"/>
    </row>
    <row r="911" spans="1:17" ht="14.25">
      <c r="A911" s="2107" t="str">
        <f>'Part VII-Threshold Criteria'!A29</f>
        <v>The Applicant believes the proposed application is consistent with DCA's requirements regarding Project Feasibility, Viability and Conformance with the Plan as detailed in the 2026-2027 QAP.  Westchester Village II complies with the 2026-2027 QAP and the Applicant has not requested any waivers or deviations from these standards.</v>
      </c>
      <c r="B911" s="2107"/>
      <c r="C911" s="2107"/>
      <c r="D911" s="2107"/>
      <c r="E911" s="2107"/>
      <c r="F911" s="2107"/>
      <c r="G911" s="2107"/>
      <c r="H911" s="2107"/>
      <c r="I911" s="2107"/>
      <c r="J911" s="2107"/>
      <c r="K911" s="2107"/>
      <c r="L911" s="2107"/>
      <c r="M911" s="2107"/>
      <c r="N911" s="2107"/>
      <c r="O911" s="2107"/>
      <c r="P911" s="2107"/>
      <c r="Q911" s="2107"/>
    </row>
    <row r="912" spans="1:17" ht="14.25">
      <c r="A912" s="1745"/>
      <c r="B912" s="2106" t="s">
        <v>1452</v>
      </c>
      <c r="C912" s="2106"/>
      <c r="D912" s="1745"/>
      <c r="E912" s="1745"/>
      <c r="F912" s="1745"/>
      <c r="G912" s="1745"/>
      <c r="H912" s="1745"/>
      <c r="I912" s="1745"/>
      <c r="J912" s="1745"/>
      <c r="K912" s="1745"/>
      <c r="L912" s="1745"/>
      <c r="M912" s="1745"/>
      <c r="N912" s="1745"/>
      <c r="O912" s="1745"/>
      <c r="P912" s="1745"/>
      <c r="Q912" s="1745"/>
    </row>
    <row r="913" spans="1:17" ht="14.25">
      <c r="A913" s="1745"/>
      <c r="B913" s="1745"/>
      <c r="C913" s="1745"/>
      <c r="D913" s="1745"/>
      <c r="E913" s="1745"/>
      <c r="F913" s="1745"/>
      <c r="G913" s="1745"/>
      <c r="H913" s="1745"/>
      <c r="I913" s="1745"/>
      <c r="J913" s="1745"/>
      <c r="K913" s="1745"/>
      <c r="L913" s="1745"/>
      <c r="M913" s="1745"/>
      <c r="N913" s="1745"/>
      <c r="O913" s="1745"/>
      <c r="P913" s="1745"/>
      <c r="Q913" s="1745"/>
    </row>
    <row r="914" spans="1:17" ht="15">
      <c r="A914" s="1745"/>
      <c r="B914" s="1745"/>
      <c r="C914" s="1745"/>
      <c r="D914" s="1745"/>
      <c r="E914" s="1745"/>
      <c r="F914" s="1745"/>
      <c r="G914" s="1745"/>
      <c r="H914" s="1745"/>
      <c r="I914" s="1745"/>
      <c r="J914" s="1745"/>
      <c r="K914" s="1745"/>
      <c r="L914" s="1745"/>
      <c r="M914" s="1745"/>
      <c r="N914" s="1745"/>
      <c r="O914" s="1745"/>
      <c r="P914" s="1745"/>
      <c r="Q914" s="1750"/>
    </row>
    <row r="915" spans="1:17" ht="15">
      <c r="A915" s="2104" t="s">
        <v>25</v>
      </c>
      <c r="B915" s="1750" t="s">
        <v>1457</v>
      </c>
      <c r="C915" s="1750"/>
      <c r="D915" s="1750"/>
      <c r="E915" s="1746"/>
      <c r="F915" s="1746"/>
      <c r="G915" s="1746"/>
      <c r="H915" s="1745"/>
      <c r="I915" s="1745"/>
      <c r="J915" s="1745"/>
      <c r="K915" s="1745"/>
      <c r="L915" s="1745"/>
      <c r="M915" s="1745"/>
      <c r="N915" s="1745"/>
      <c r="O915" s="2105" t="s">
        <v>1450</v>
      </c>
      <c r="P915" s="1750"/>
      <c r="Q915" s="1750"/>
    </row>
    <row r="916" spans="1:17" ht="15">
      <c r="A916" s="2104"/>
      <c r="B916" s="1745" t="s">
        <v>7568</v>
      </c>
      <c r="C916" s="1745"/>
      <c r="D916" s="1745"/>
      <c r="E916" s="1745"/>
      <c r="F916" s="1745"/>
      <c r="G916" s="1745"/>
      <c r="H916" s="1745"/>
      <c r="I916" s="1745"/>
      <c r="J916" s="1745"/>
      <c r="K916" s="1745"/>
      <c r="L916" s="1745"/>
      <c r="M916" s="1745"/>
      <c r="N916" s="1745"/>
      <c r="O916" s="1745"/>
      <c r="P916" s="1750" t="str">
        <f>'Part VII-Threshold Criteria'!P44</f>
        <v>Yes</v>
      </c>
      <c r="Q916" s="1750"/>
    </row>
    <row r="917" spans="1:17" ht="14.25">
      <c r="A917" s="1745"/>
      <c r="B917" s="2106" t="s">
        <v>1456</v>
      </c>
      <c r="C917" s="1745"/>
      <c r="D917" s="2106"/>
      <c r="E917" s="2106"/>
      <c r="F917" s="2106"/>
      <c r="G917" s="2106"/>
      <c r="H917" s="1745"/>
      <c r="I917" s="1745"/>
      <c r="J917" s="1745"/>
      <c r="K917" s="1745"/>
      <c r="L917" s="1745"/>
      <c r="M917" s="1745"/>
      <c r="N917" s="1745"/>
      <c r="O917" s="1745"/>
      <c r="P917" s="1745"/>
      <c r="Q917" s="1745"/>
    </row>
    <row r="918" spans="1:17" ht="14.25">
      <c r="A918" s="2107" t="str">
        <f>'Part VII-Threshold Criteria'!A46</f>
        <v>Applicant is targetting a Senior 55+ tenancy.</v>
      </c>
      <c r="B918" s="2107"/>
      <c r="C918" s="2107"/>
      <c r="D918" s="2107"/>
      <c r="E918" s="2107"/>
      <c r="F918" s="2107"/>
      <c r="G918" s="2107"/>
      <c r="H918" s="2107"/>
      <c r="I918" s="2107"/>
      <c r="J918" s="2107"/>
      <c r="K918" s="2107"/>
      <c r="L918" s="2107"/>
      <c r="M918" s="2107"/>
      <c r="N918" s="2107"/>
      <c r="O918" s="2107"/>
      <c r="P918" s="2107"/>
      <c r="Q918" s="2107"/>
    </row>
    <row r="919" spans="1:17" ht="15">
      <c r="A919" s="1750"/>
      <c r="B919" s="2106" t="s">
        <v>1452</v>
      </c>
      <c r="C919" s="1750"/>
      <c r="D919" s="1750"/>
      <c r="E919" s="1750"/>
      <c r="F919" s="1750"/>
      <c r="G919" s="1750"/>
      <c r="H919" s="1750"/>
      <c r="I919" s="1745"/>
      <c r="J919" s="1745"/>
      <c r="K919" s="1745"/>
      <c r="L919" s="1745"/>
      <c r="M919" s="1745"/>
      <c r="N919" s="1745"/>
      <c r="O919" s="1745"/>
      <c r="P919" s="1745"/>
      <c r="Q919" s="1750"/>
    </row>
    <row r="920" spans="1:17" ht="14.25">
      <c r="A920" s="1745"/>
      <c r="B920" s="1745"/>
      <c r="C920" s="1745"/>
      <c r="D920" s="1745"/>
      <c r="E920" s="1745"/>
      <c r="F920" s="1745"/>
      <c r="G920" s="1745"/>
      <c r="H920" s="1745"/>
      <c r="I920" s="1745"/>
      <c r="J920" s="1745"/>
      <c r="K920" s="1745"/>
      <c r="L920" s="1745"/>
      <c r="M920" s="1745"/>
      <c r="N920" s="1745"/>
      <c r="O920" s="1745"/>
      <c r="P920" s="1745"/>
      <c r="Q920" s="1745"/>
    </row>
    <row r="921" spans="1:17" ht="15">
      <c r="A921" s="1750"/>
      <c r="B921" s="1745"/>
      <c r="C921" s="1745"/>
      <c r="D921" s="1745"/>
      <c r="E921" s="1745"/>
      <c r="F921" s="1745"/>
      <c r="G921" s="1745"/>
      <c r="H921" s="1745"/>
      <c r="I921" s="1745"/>
      <c r="J921" s="1745"/>
      <c r="K921" s="1745"/>
      <c r="L921" s="1745"/>
      <c r="M921" s="1745"/>
      <c r="N921" s="1745"/>
      <c r="O921" s="1745"/>
      <c r="P921" s="1745"/>
      <c r="Q921" s="1750"/>
    </row>
    <row r="922" spans="1:17" ht="15">
      <c r="A922" s="1745"/>
      <c r="B922" s="1747"/>
      <c r="C922" s="1746"/>
      <c r="D922" s="1746"/>
      <c r="E922" s="1746"/>
      <c r="F922" s="1746"/>
      <c r="G922" s="1746"/>
      <c r="H922" s="1746"/>
      <c r="I922" s="1746"/>
      <c r="J922" s="1746"/>
      <c r="K922" s="1746"/>
      <c r="L922" s="1746"/>
      <c r="M922" s="1746"/>
      <c r="N922" s="1746"/>
      <c r="O922" s="1746"/>
      <c r="P922" s="1746"/>
      <c r="Q922" s="1748"/>
    </row>
    <row r="923" spans="1:17" ht="15">
      <c r="A923" s="2104" t="s">
        <v>31</v>
      </c>
      <c r="B923" s="2104" t="s">
        <v>1459</v>
      </c>
      <c r="C923" s="2104"/>
      <c r="D923" s="1746"/>
      <c r="E923" s="1746"/>
      <c r="F923" s="1746"/>
      <c r="G923" s="1746"/>
      <c r="H923" s="1746"/>
      <c r="I923" s="1746"/>
      <c r="J923" s="1746"/>
      <c r="K923" s="1745"/>
      <c r="L923" s="2108"/>
      <c r="M923" s="2109"/>
      <c r="N923" s="1745"/>
      <c r="O923" s="2105" t="s">
        <v>1450</v>
      </c>
      <c r="P923" s="1750"/>
      <c r="Q923" s="1750"/>
    </row>
    <row r="924" spans="1:17" ht="15">
      <c r="A924" s="2105"/>
      <c r="B924" s="1746" t="s">
        <v>7569</v>
      </c>
      <c r="C924" s="2104"/>
      <c r="D924" s="1746"/>
      <c r="E924" s="1746"/>
      <c r="F924" s="1746"/>
      <c r="G924" s="1746"/>
      <c r="H924" s="1746"/>
      <c r="I924" s="1746"/>
      <c r="J924" s="1746"/>
      <c r="K924" s="1745"/>
      <c r="L924" s="2108"/>
      <c r="M924" s="2109"/>
      <c r="N924" s="1745"/>
      <c r="O924" s="2105"/>
      <c r="P924" s="1750" t="str">
        <f>'Part VII-Threshold Criteria'!P52</f>
        <v>Yes</v>
      </c>
      <c r="Q924" s="1750"/>
    </row>
    <row r="925" spans="1:17" ht="14.25">
      <c r="A925" s="1745"/>
      <c r="B925" s="2110" t="s">
        <v>1456</v>
      </c>
      <c r="C925" s="1745"/>
      <c r="D925" s="2110"/>
      <c r="E925" s="2110"/>
      <c r="F925" s="2110"/>
      <c r="G925" s="2110"/>
      <c r="H925" s="1746"/>
      <c r="I925" s="1747"/>
      <c r="J925" s="1747"/>
      <c r="K925" s="1745"/>
      <c r="L925" s="1745"/>
      <c r="M925" s="1745"/>
      <c r="N925" s="1745"/>
      <c r="O925" s="1745"/>
      <c r="P925" s="1745"/>
      <c r="Q925" s="1745"/>
    </row>
    <row r="926" spans="1:17" ht="14.25">
      <c r="A926" s="2107" t="str">
        <f>'Part VII-Threshold Criteria'!A54</f>
        <v>Applicant certifies the community will meet the requirments of the 2026-2027 QAP.</v>
      </c>
      <c r="B926" s="2107"/>
      <c r="C926" s="2107"/>
      <c r="D926" s="2107"/>
      <c r="E926" s="2107"/>
      <c r="F926" s="2107"/>
      <c r="G926" s="2107"/>
      <c r="H926" s="2107"/>
      <c r="I926" s="2107"/>
      <c r="J926" s="2107"/>
      <c r="K926" s="2107"/>
      <c r="L926" s="2107"/>
      <c r="M926" s="2107"/>
      <c r="N926" s="2107"/>
      <c r="O926" s="2107"/>
      <c r="P926" s="2107"/>
      <c r="Q926" s="2107"/>
    </row>
    <row r="927" spans="1:17" ht="15">
      <c r="A927" s="1750"/>
      <c r="B927" s="2106" t="s">
        <v>1452</v>
      </c>
      <c r="C927" s="1750"/>
      <c r="D927" s="1750"/>
      <c r="E927" s="1750"/>
      <c r="F927" s="1750"/>
      <c r="G927" s="1750"/>
      <c r="H927" s="1750"/>
      <c r="I927" s="1745"/>
      <c r="J927" s="1745"/>
      <c r="K927" s="1745"/>
      <c r="L927" s="1745"/>
      <c r="M927" s="1745"/>
      <c r="N927" s="1745"/>
      <c r="O927" s="1745"/>
      <c r="P927" s="1745"/>
      <c r="Q927" s="1750"/>
    </row>
    <row r="928" spans="1:17" ht="14.25">
      <c r="A928" s="1745"/>
      <c r="B928" s="1745"/>
      <c r="C928" s="1745"/>
      <c r="D928" s="1745"/>
      <c r="E928" s="1745"/>
      <c r="F928" s="1745"/>
      <c r="G928" s="1745"/>
      <c r="H928" s="1745"/>
      <c r="I928" s="1745"/>
      <c r="J928" s="1745"/>
      <c r="K928" s="1745"/>
      <c r="L928" s="1745"/>
      <c r="M928" s="1745"/>
      <c r="N928" s="1745"/>
      <c r="O928" s="1745"/>
      <c r="P928" s="1745"/>
      <c r="Q928" s="1745"/>
    </row>
    <row r="929" spans="1:17" ht="15">
      <c r="A929" s="1750"/>
      <c r="B929" s="1745"/>
      <c r="C929" s="1745"/>
      <c r="D929" s="1745"/>
      <c r="E929" s="1745"/>
      <c r="F929" s="1745"/>
      <c r="G929" s="1745"/>
      <c r="H929" s="1745"/>
      <c r="I929" s="1745"/>
      <c r="J929" s="1745"/>
      <c r="K929" s="1745"/>
      <c r="L929" s="1745"/>
      <c r="M929" s="1745"/>
      <c r="N929" s="1745"/>
      <c r="O929" s="1745"/>
      <c r="P929" s="1745"/>
      <c r="Q929" s="1750"/>
    </row>
    <row r="930" spans="1:17" ht="15">
      <c r="A930" s="2104"/>
      <c r="B930" s="1747"/>
      <c r="C930" s="1746"/>
      <c r="D930" s="1746"/>
      <c r="E930" s="1746"/>
      <c r="F930" s="1746"/>
      <c r="G930" s="1746"/>
      <c r="H930" s="1746"/>
      <c r="I930" s="1746"/>
      <c r="J930" s="1746"/>
      <c r="K930" s="1746"/>
      <c r="L930" s="1746"/>
      <c r="M930" s="1746"/>
      <c r="N930" s="1746"/>
      <c r="O930" s="1746"/>
      <c r="P930" s="1746"/>
      <c r="Q930" s="1748"/>
    </row>
    <row r="931" spans="1:17" ht="15">
      <c r="A931" s="2104" t="s">
        <v>43</v>
      </c>
      <c r="B931" s="2104" t="s">
        <v>1461</v>
      </c>
      <c r="C931" s="2104"/>
      <c r="D931" s="1746"/>
      <c r="E931" s="1746"/>
      <c r="F931" s="1746"/>
      <c r="G931" s="1746"/>
      <c r="H931" s="1748"/>
      <c r="I931" s="1745"/>
      <c r="J931" s="2105"/>
      <c r="K931" s="1750"/>
      <c r="L931" s="2105"/>
      <c r="M931" s="2104"/>
      <c r="N931" s="1745"/>
      <c r="O931" s="2105" t="s">
        <v>1450</v>
      </c>
      <c r="P931" s="1750"/>
      <c r="Q931" s="1750"/>
    </row>
    <row r="932" spans="1:17" ht="15">
      <c r="A932" s="2105"/>
      <c r="B932" s="1745" t="s">
        <v>1462</v>
      </c>
      <c r="C932" s="1745"/>
      <c r="D932" s="1745"/>
      <c r="E932" s="1745"/>
      <c r="F932" s="1745"/>
      <c r="G932" s="1745"/>
      <c r="H932" s="1745"/>
      <c r="I932" s="1745"/>
      <c r="J932" s="1745"/>
      <c r="K932" s="1745"/>
      <c r="L932" s="2107" t="str">
        <f>'Part VII-Threshold Criteria'!L60</f>
        <v>Navagradac &amp; Company, LLP</v>
      </c>
      <c r="M932" s="2107"/>
      <c r="N932" s="2107"/>
      <c r="O932" s="2107"/>
      <c r="P932" s="2107"/>
      <c r="Q932" s="2107"/>
    </row>
    <row r="933" spans="1:17" ht="15">
      <c r="A933" s="2105"/>
      <c r="B933" s="1745" t="s">
        <v>1463</v>
      </c>
      <c r="C933" s="1745"/>
      <c r="D933" s="1745"/>
      <c r="E933" s="1745"/>
      <c r="F933" s="1745"/>
      <c r="G933" s="1745"/>
      <c r="H933" s="1745"/>
      <c r="I933" s="1745"/>
      <c r="J933" s="1745"/>
      <c r="K933" s="1745"/>
      <c r="L933" s="1745"/>
      <c r="M933" s="1745"/>
      <c r="N933" s="2111"/>
      <c r="O933" s="2111"/>
      <c r="P933" s="2112">
        <f>'Part VII-Threshold Criteria'!P61</f>
        <v>0.96799999999999997</v>
      </c>
      <c r="Q933" s="2112"/>
    </row>
    <row r="934" spans="1:17" ht="15">
      <c r="A934" s="2105"/>
      <c r="B934" s="1745" t="s">
        <v>1464</v>
      </c>
      <c r="C934" s="1745"/>
      <c r="D934" s="1745"/>
      <c r="E934" s="1745"/>
      <c r="F934" s="1745"/>
      <c r="G934" s="1745"/>
      <c r="H934" s="1745"/>
      <c r="I934" s="1745"/>
      <c r="J934" s="1745"/>
      <c r="K934" s="1745"/>
      <c r="L934" s="1746" t="s">
        <v>1465</v>
      </c>
      <c r="M934" s="1745"/>
      <c r="N934" s="1745"/>
      <c r="O934" s="1745"/>
      <c r="P934" s="2112">
        <f>'Part VII-Threshold Criteria'!P62</f>
        <v>5.0999999999999997E-2</v>
      </c>
      <c r="Q934" s="2112"/>
    </row>
    <row r="935" spans="1:17" ht="15">
      <c r="A935" s="2105"/>
      <c r="B935" s="1745"/>
      <c r="C935" s="1745"/>
      <c r="D935" s="1745"/>
      <c r="E935" s="1745"/>
      <c r="F935" s="1745"/>
      <c r="G935" s="1745"/>
      <c r="H935" s="1745"/>
      <c r="I935" s="1745"/>
      <c r="J935" s="2111"/>
      <c r="K935" s="1745"/>
      <c r="L935" s="2113" t="s">
        <v>1466</v>
      </c>
      <c r="M935" s="1745"/>
      <c r="N935" s="1745"/>
      <c r="O935" s="1745"/>
      <c r="P935" s="2112">
        <f>'Part VII-Threshold Criteria'!P63</f>
        <v>0</v>
      </c>
      <c r="Q935" s="2112"/>
    </row>
    <row r="936" spans="1:17" ht="15">
      <c r="A936" s="1745"/>
      <c r="B936" s="2110" t="s">
        <v>1456</v>
      </c>
      <c r="C936" s="1745"/>
      <c r="D936" s="2110"/>
      <c r="E936" s="2110"/>
      <c r="F936" s="2110"/>
      <c r="G936" s="2110"/>
      <c r="H936" s="1746"/>
      <c r="I936" s="1747"/>
      <c r="J936" s="1747"/>
      <c r="K936" s="1747"/>
      <c r="L936" s="1748"/>
      <c r="M936" s="1748"/>
      <c r="N936" s="1748"/>
      <c r="O936" s="1748"/>
      <c r="P936" s="1750"/>
      <c r="Q936" s="1750"/>
    </row>
    <row r="937" spans="1:17" ht="14.25">
      <c r="A937" s="2107" t="str">
        <f>'Part VII-Threshold Criteria'!A65</f>
        <v>Please see Tab 7 for the market study. All capture rates and rent advantage are with acceptable ranges and the market analyst recomends the project as proposed.</v>
      </c>
      <c r="B937" s="2107"/>
      <c r="C937" s="2107"/>
      <c r="D937" s="2107"/>
      <c r="E937" s="2107"/>
      <c r="F937" s="2107"/>
      <c r="G937" s="2107"/>
      <c r="H937" s="2107"/>
      <c r="I937" s="2107"/>
      <c r="J937" s="2107"/>
      <c r="K937" s="2107"/>
      <c r="L937" s="2107"/>
      <c r="M937" s="2107"/>
      <c r="N937" s="2107"/>
      <c r="O937" s="2107"/>
      <c r="P937" s="2107"/>
      <c r="Q937" s="2107"/>
    </row>
    <row r="938" spans="1:17" ht="14.25">
      <c r="A938" s="1745"/>
      <c r="B938" s="2106" t="s">
        <v>1452</v>
      </c>
      <c r="C938" s="2106"/>
      <c r="D938" s="1745"/>
      <c r="E938" s="1745"/>
      <c r="F938" s="1745"/>
      <c r="G938" s="1745"/>
      <c r="H938" s="1745"/>
      <c r="I938" s="1745"/>
      <c r="J938" s="1745"/>
      <c r="K938" s="1745"/>
      <c r="L938" s="1745"/>
      <c r="M938" s="1745"/>
      <c r="N938" s="1745"/>
      <c r="O938" s="1745"/>
      <c r="P938" s="1745"/>
      <c r="Q938" s="1745"/>
    </row>
    <row r="939" spans="1:17" ht="14.25">
      <c r="A939" s="1745"/>
      <c r="B939" s="1745"/>
      <c r="C939" s="1745"/>
      <c r="D939" s="1745"/>
      <c r="E939" s="1745"/>
      <c r="F939" s="1745"/>
      <c r="G939" s="1745"/>
      <c r="H939" s="1745"/>
      <c r="I939" s="1745"/>
      <c r="J939" s="1745"/>
      <c r="K939" s="1745"/>
      <c r="L939" s="1745"/>
      <c r="M939" s="1745"/>
      <c r="N939" s="1745"/>
      <c r="O939" s="1745"/>
      <c r="P939" s="1745"/>
      <c r="Q939" s="1745"/>
    </row>
    <row r="940" spans="1:17" ht="14.25">
      <c r="A940" s="1745"/>
      <c r="B940" s="1745"/>
      <c r="C940" s="1745"/>
      <c r="D940" s="1745"/>
      <c r="E940" s="1745"/>
      <c r="F940" s="1745"/>
      <c r="G940" s="1745"/>
      <c r="H940" s="1745"/>
      <c r="I940" s="1745"/>
      <c r="J940" s="1745"/>
      <c r="K940" s="1745"/>
      <c r="L940" s="1745"/>
      <c r="M940" s="1745"/>
      <c r="N940" s="1745"/>
      <c r="O940" s="1745"/>
      <c r="P940" s="1745"/>
      <c r="Q940" s="1745"/>
    </row>
    <row r="941" spans="1:17" ht="15">
      <c r="A941" s="2104"/>
      <c r="B941" s="1746"/>
      <c r="C941" s="1746"/>
      <c r="D941" s="1746"/>
      <c r="E941" s="1746"/>
      <c r="F941" s="1746"/>
      <c r="G941" s="1746"/>
      <c r="H941" s="1746"/>
      <c r="I941" s="1746"/>
      <c r="J941" s="1746"/>
      <c r="K941" s="1746"/>
      <c r="L941" s="1746"/>
      <c r="M941" s="1746"/>
      <c r="N941" s="1746"/>
      <c r="O941" s="1746"/>
      <c r="P941" s="1746"/>
      <c r="Q941" s="1746"/>
    </row>
    <row r="942" spans="1:17" ht="15">
      <c r="A942" s="2104" t="s">
        <v>57</v>
      </c>
      <c r="B942" s="2104" t="s">
        <v>1467</v>
      </c>
      <c r="C942" s="2104"/>
      <c r="D942" s="1746"/>
      <c r="E942" s="1746"/>
      <c r="F942" s="1746"/>
      <c r="G942" s="1746"/>
      <c r="H942" s="1746"/>
      <c r="I942" s="1746"/>
      <c r="J942" s="1746"/>
      <c r="K942" s="1746"/>
      <c r="L942" s="1746"/>
      <c r="M942" s="1746"/>
      <c r="N942" s="1745"/>
      <c r="O942" s="2105" t="s">
        <v>1450</v>
      </c>
      <c r="P942" s="1750"/>
      <c r="Q942" s="1750"/>
    </row>
    <row r="943" spans="1:17" ht="15">
      <c r="A943" s="2105"/>
      <c r="B943" s="1745" t="s">
        <v>1468</v>
      </c>
      <c r="C943" s="1745"/>
      <c r="D943" s="1745"/>
      <c r="E943" s="1745"/>
      <c r="F943" s="1745"/>
      <c r="G943" s="1745"/>
      <c r="H943" s="1745"/>
      <c r="I943" s="1745"/>
      <c r="J943" s="1745"/>
      <c r="K943" s="1745"/>
      <c r="L943" s="2107">
        <f>'Part VII-Threshold Criteria'!L71</f>
        <v>0</v>
      </c>
      <c r="M943" s="1745"/>
      <c r="N943" s="1745"/>
      <c r="O943" s="1745"/>
      <c r="P943" s="1745"/>
      <c r="Q943" s="1745"/>
    </row>
    <row r="944" spans="1:17" ht="15">
      <c r="A944" s="2105"/>
      <c r="B944" s="1745" t="s">
        <v>1469</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1470</v>
      </c>
      <c r="D945" s="1745"/>
      <c r="E945" s="1745"/>
      <c r="F945" s="1745"/>
      <c r="G945" s="1745"/>
      <c r="H945" s="1745"/>
      <c r="I945" s="1745"/>
      <c r="J945" s="1745"/>
      <c r="K945" s="1745"/>
      <c r="L945" s="1745"/>
      <c r="M945" s="1745"/>
      <c r="N945" s="1745"/>
      <c r="O945" s="1745"/>
      <c r="P945" s="1750">
        <f>'Part VII-Threshold Criteria'!P73</f>
        <v>0</v>
      </c>
      <c r="Q945" s="1748"/>
    </row>
    <row r="946" spans="1:17" ht="15">
      <c r="A946" s="1745"/>
      <c r="B946" s="2110" t="s">
        <v>1451</v>
      </c>
      <c r="C946" s="1745"/>
      <c r="D946" s="2106"/>
      <c r="E946" s="2106"/>
      <c r="F946" s="2106"/>
      <c r="G946" s="2106"/>
      <c r="H946" s="1745"/>
      <c r="I946" s="1745"/>
      <c r="J946" s="1745"/>
      <c r="K946" s="1745"/>
      <c r="L946" s="1750"/>
      <c r="M946" s="1750"/>
      <c r="N946" s="1750"/>
      <c r="O946" s="1750"/>
      <c r="P946" s="1748"/>
      <c r="Q946" s="1748"/>
    </row>
    <row r="947" spans="1:17" ht="14.25">
      <c r="A947" s="2107" t="str">
        <f>'Part VII-Threshold Criteria'!A75</f>
        <v>NA</v>
      </c>
      <c r="B947" s="2107"/>
      <c r="C947" s="2107"/>
      <c r="D947" s="2107"/>
      <c r="E947" s="2107"/>
      <c r="F947" s="2107"/>
      <c r="G947" s="2107"/>
      <c r="H947" s="2107"/>
      <c r="I947" s="2107"/>
      <c r="J947" s="2107"/>
      <c r="K947" s="2107"/>
      <c r="L947" s="2107"/>
      <c r="M947" s="2107"/>
      <c r="N947" s="2107"/>
      <c r="O947" s="2107"/>
      <c r="P947" s="2107"/>
      <c r="Q947" s="2107"/>
    </row>
    <row r="948" spans="1:17" ht="14.25">
      <c r="A948" s="1745"/>
      <c r="B948" s="2106" t="s">
        <v>1452</v>
      </c>
      <c r="C948" s="2106"/>
      <c r="D948" s="1745"/>
      <c r="E948" s="1745"/>
      <c r="F948" s="1745"/>
      <c r="G948" s="1745"/>
      <c r="H948" s="1745"/>
      <c r="I948" s="1745"/>
      <c r="J948" s="1745"/>
      <c r="K948" s="1745"/>
      <c r="L948" s="1745"/>
      <c r="M948" s="1745"/>
      <c r="N948" s="1745"/>
      <c r="O948" s="1745"/>
      <c r="P948" s="1745"/>
      <c r="Q948" s="1745"/>
    </row>
    <row r="949" spans="1:17" ht="14.25">
      <c r="A949" s="1745"/>
      <c r="B949" s="1745"/>
      <c r="C949" s="1745"/>
      <c r="D949" s="1745"/>
      <c r="E949" s="1745"/>
      <c r="F949" s="1745"/>
      <c r="G949" s="1745"/>
      <c r="H949" s="1745"/>
      <c r="I949" s="1745"/>
      <c r="J949" s="1745"/>
      <c r="K949" s="1745"/>
      <c r="L949" s="1745"/>
      <c r="M949" s="1745"/>
      <c r="N949" s="1745"/>
      <c r="O949" s="1745"/>
      <c r="P949" s="1745"/>
      <c r="Q949" s="1745"/>
    </row>
    <row r="950" spans="1:17" ht="14.25">
      <c r="A950" s="1745"/>
      <c r="B950" s="1745"/>
      <c r="C950" s="1745"/>
      <c r="D950" s="1745"/>
      <c r="E950" s="1745"/>
      <c r="F950" s="1745"/>
      <c r="G950" s="1745"/>
      <c r="H950" s="1745"/>
      <c r="I950" s="1745"/>
      <c r="J950" s="1745"/>
      <c r="K950" s="1745"/>
      <c r="L950" s="1745"/>
      <c r="M950" s="1745"/>
      <c r="N950" s="1745"/>
      <c r="O950" s="1745"/>
      <c r="P950" s="1745"/>
      <c r="Q950" s="1745"/>
    </row>
    <row r="951" spans="1:17" ht="14.25">
      <c r="A951" s="1745"/>
      <c r="B951" s="1745"/>
      <c r="C951" s="1745"/>
      <c r="D951" s="1745"/>
      <c r="E951" s="1745"/>
      <c r="F951" s="1745"/>
      <c r="G951" s="1745"/>
      <c r="H951" s="1745"/>
      <c r="I951" s="1745"/>
      <c r="J951" s="1745"/>
      <c r="K951" s="1745"/>
      <c r="L951" s="1745"/>
      <c r="M951" s="1745"/>
      <c r="N951" s="1745"/>
      <c r="O951" s="1745"/>
      <c r="P951" s="1745"/>
      <c r="Q951" s="1745"/>
    </row>
    <row r="952" spans="1:17" ht="15">
      <c r="A952" s="2104" t="s">
        <v>66</v>
      </c>
      <c r="B952" s="2104" t="s">
        <v>1471</v>
      </c>
      <c r="C952" s="1746"/>
      <c r="D952" s="1746"/>
      <c r="E952" s="1746"/>
      <c r="F952" s="1746"/>
      <c r="G952" s="1746"/>
      <c r="H952" s="1746"/>
      <c r="I952" s="1746"/>
      <c r="J952" s="1746"/>
      <c r="K952" s="1746"/>
      <c r="L952" s="1746"/>
      <c r="M952" s="1746"/>
      <c r="N952" s="1745"/>
      <c r="O952" s="2105" t="s">
        <v>1450</v>
      </c>
      <c r="P952" s="1750"/>
      <c r="Q952" s="1750"/>
    </row>
    <row r="953" spans="1:17" ht="15" customHeight="1">
      <c r="A953" s="2105"/>
      <c r="B953" s="1745" t="s">
        <v>1472</v>
      </c>
      <c r="C953" s="1745"/>
      <c r="D953" s="1745"/>
      <c r="E953" s="1745"/>
      <c r="F953" s="1745"/>
      <c r="G953" s="1745"/>
      <c r="H953" s="1745"/>
      <c r="I953" s="1745"/>
      <c r="J953" s="1745"/>
      <c r="K953" s="1745"/>
      <c r="L953" s="2107" t="str">
        <f>'Part VII-Threshold Criteria'!L81</f>
        <v>Terracon Consultants, Inc</v>
      </c>
      <c r="M953" s="2114"/>
      <c r="N953" s="2114"/>
      <c r="O953" s="2114"/>
      <c r="P953" s="2114"/>
      <c r="Q953" s="2114"/>
    </row>
    <row r="954" spans="1:17" ht="15">
      <c r="A954" s="1745"/>
      <c r="B954" s="1745" t="s">
        <v>1473</v>
      </c>
      <c r="C954" s="1745"/>
      <c r="D954" s="1745"/>
      <c r="E954" s="1745"/>
      <c r="F954" s="1745"/>
      <c r="G954" s="1745"/>
      <c r="H954" s="1745"/>
      <c r="I954" s="1745"/>
      <c r="J954" s="1745"/>
      <c r="K954" s="1745"/>
      <c r="L954" s="1745"/>
      <c r="M954" s="1745"/>
      <c r="N954" s="1745"/>
      <c r="O954" s="1745"/>
      <c r="P954" s="1750" t="str">
        <f>'Part VII-Threshold Criteria'!P82</f>
        <v>No</v>
      </c>
      <c r="Q954" s="1750"/>
    </row>
    <row r="955" spans="1:17" ht="15">
      <c r="A955" s="2105"/>
      <c r="B955" s="1745" t="s">
        <v>1474</v>
      </c>
      <c r="C955" s="1745"/>
      <c r="D955" s="1745"/>
      <c r="E955" s="1745"/>
      <c r="F955" s="1745"/>
      <c r="G955" s="1745"/>
      <c r="H955" s="1745"/>
      <c r="I955" s="1745"/>
      <c r="J955" s="1745"/>
      <c r="K955" s="1745"/>
      <c r="L955" s="1746"/>
      <c r="M955" s="1745"/>
      <c r="N955" s="1745"/>
      <c r="O955" s="2115"/>
      <c r="P955" s="1750" t="str">
        <f>'Part VII-Threshold Criteria'!P83</f>
        <v>No</v>
      </c>
      <c r="Q955" s="1748"/>
    </row>
    <row r="956" spans="1:17" ht="15">
      <c r="A956" s="2105"/>
      <c r="B956" s="1745" t="s">
        <v>1475</v>
      </c>
      <c r="C956" s="1745"/>
      <c r="D956" s="1745"/>
      <c r="E956" s="1745"/>
      <c r="F956" s="1745"/>
      <c r="G956" s="1745"/>
      <c r="H956" s="1745"/>
      <c r="I956" s="1745" t="s">
        <v>1476</v>
      </c>
      <c r="J956" s="1745"/>
      <c r="K956" s="1745"/>
      <c r="L956" s="1746"/>
      <c r="M956" s="1746"/>
      <c r="N956" s="1746"/>
      <c r="O956" s="2115"/>
      <c r="P956" s="1750" t="str">
        <f>'Part VII-Threshold Criteria'!P84</f>
        <v>No</v>
      </c>
      <c r="Q956" s="1748"/>
    </row>
    <row r="957" spans="1:17" ht="15">
      <c r="A957" s="2105"/>
      <c r="B957" s="2104"/>
      <c r="C957" s="1745"/>
      <c r="D957" s="1745"/>
      <c r="E957" s="1745"/>
      <c r="F957" s="1745"/>
      <c r="G957" s="1745"/>
      <c r="H957" s="1745"/>
      <c r="I957" s="1745" t="s">
        <v>1477</v>
      </c>
      <c r="J957" s="1745"/>
      <c r="K957" s="1745"/>
      <c r="L957" s="1746"/>
      <c r="M957" s="1746"/>
      <c r="N957" s="1745"/>
      <c r="O957" s="2115"/>
      <c r="P957" s="1750" t="str">
        <f>'Part VII-Threshold Criteria'!P85</f>
        <v>No</v>
      </c>
      <c r="Q957" s="1748"/>
    </row>
    <row r="958" spans="1:17" ht="15">
      <c r="A958" s="2105"/>
      <c r="B958" s="2104"/>
      <c r="C958" s="1745"/>
      <c r="D958" s="1745"/>
      <c r="E958" s="1745"/>
      <c r="F958" s="1745"/>
      <c r="G958" s="1745"/>
      <c r="H958" s="1745"/>
      <c r="I958" s="2116"/>
      <c r="J958" s="2102" t="s">
        <v>1478</v>
      </c>
      <c r="K958" s="1745"/>
      <c r="L958" s="1746"/>
      <c r="M958" s="1746"/>
      <c r="N958" s="1745"/>
      <c r="O958" s="2115"/>
      <c r="P958" s="1750">
        <f>'Part VII-Threshold Criteria'!P86</f>
        <v>0</v>
      </c>
      <c r="Q958" s="2117"/>
    </row>
    <row r="959" spans="1:17" ht="15">
      <c r="A959" s="1827"/>
      <c r="B959" s="2116"/>
      <c r="C959" s="2107"/>
      <c r="D959" s="2107"/>
      <c r="E959" s="2118"/>
      <c r="F959" s="2118"/>
      <c r="G959" s="2102"/>
      <c r="H959" s="2102"/>
      <c r="I959" s="1745" t="s">
        <v>1479</v>
      </c>
      <c r="J959" s="1745"/>
      <c r="K959" s="2107"/>
      <c r="L959" s="1828"/>
      <c r="M959" s="1828"/>
      <c r="N959" s="2107"/>
      <c r="O959" s="2119"/>
      <c r="P959" s="1750" t="str">
        <f>'Part VII-Threshold Criteria'!P87</f>
        <v>No</v>
      </c>
      <c r="Q959" s="1748"/>
    </row>
    <row r="960" spans="1:17" ht="15" customHeight="1">
      <c r="A960" s="2105"/>
      <c r="B960" s="1745" t="s">
        <v>7570</v>
      </c>
      <c r="C960" s="1745"/>
      <c r="D960" s="1745"/>
      <c r="E960" s="1745"/>
      <c r="F960" s="1745"/>
      <c r="G960" s="1745"/>
      <c r="H960" s="1745"/>
      <c r="I960" s="1745"/>
      <c r="J960" s="1745"/>
      <c r="K960" s="1745"/>
      <c r="L960" s="1745"/>
      <c r="M960" s="1745"/>
      <c r="N960" s="1745"/>
      <c r="O960" s="1745"/>
      <c r="P960" s="1745"/>
      <c r="Q960" s="1745"/>
    </row>
    <row r="961" spans="1:17" ht="14.25">
      <c r="A961" s="1745"/>
      <c r="B961" s="2107" t="str">
        <f>'Part VII-Threshold Criteria'!B89</f>
        <v>NA</v>
      </c>
      <c r="C961" s="2107"/>
      <c r="D961" s="2107"/>
      <c r="E961" s="2107"/>
      <c r="F961" s="2107"/>
      <c r="G961" s="2107"/>
      <c r="H961" s="2107"/>
      <c r="I961" s="2107"/>
      <c r="J961" s="2107"/>
      <c r="K961" s="2107"/>
      <c r="L961" s="2107"/>
      <c r="M961" s="2107"/>
      <c r="N961" s="2107"/>
      <c r="O961" s="2107"/>
      <c r="P961" s="2107"/>
      <c r="Q961" s="2107"/>
    </row>
    <row r="962" spans="1:17" ht="15">
      <c r="A962" s="1745"/>
      <c r="B962" s="2106" t="s">
        <v>1456</v>
      </c>
      <c r="C962" s="1745"/>
      <c r="D962" s="2106"/>
      <c r="E962" s="2106"/>
      <c r="F962" s="2106"/>
      <c r="G962" s="2106"/>
      <c r="H962" s="1745"/>
      <c r="I962" s="1745"/>
      <c r="J962" s="1745"/>
      <c r="K962" s="1745"/>
      <c r="L962" s="1750"/>
      <c r="M962" s="1750"/>
      <c r="N962" s="1750"/>
      <c r="O962" s="1750"/>
      <c r="P962" s="1750"/>
      <c r="Q962" s="1750"/>
    </row>
    <row r="963" spans="1:17" ht="14.25">
      <c r="A963" s="2107" t="str">
        <f>'Part VII-Threshold Criteria'!A91</f>
        <v>Please see Tab 7 for the Phase I.</v>
      </c>
      <c r="B963" s="2107"/>
      <c r="C963" s="2107"/>
      <c r="D963" s="2107"/>
      <c r="E963" s="2107"/>
      <c r="F963" s="2107"/>
      <c r="G963" s="2107"/>
      <c r="H963" s="2107"/>
      <c r="I963" s="2107"/>
      <c r="J963" s="2107"/>
      <c r="K963" s="2107"/>
      <c r="L963" s="2107"/>
      <c r="M963" s="2107"/>
      <c r="N963" s="2107"/>
      <c r="O963" s="2107"/>
      <c r="P963" s="2107"/>
      <c r="Q963" s="2107"/>
    </row>
    <row r="964" spans="1:17" ht="14.25">
      <c r="A964" s="1745"/>
      <c r="B964" s="2106" t="s">
        <v>1452</v>
      </c>
      <c r="C964" s="2106"/>
      <c r="D964" s="1745"/>
      <c r="E964" s="1745"/>
      <c r="F964" s="1745"/>
      <c r="G964" s="1745"/>
      <c r="H964" s="1745"/>
      <c r="I964" s="1745"/>
      <c r="J964" s="1745"/>
      <c r="K964" s="1745"/>
      <c r="L964" s="1745"/>
      <c r="M964" s="1745"/>
      <c r="N964" s="1745"/>
      <c r="O964" s="1745"/>
      <c r="P964" s="1745"/>
      <c r="Q964" s="1745"/>
    </row>
    <row r="965" spans="1:17" ht="14.25">
      <c r="A965" s="1745"/>
      <c r="B965" s="1745"/>
      <c r="C965" s="1745"/>
      <c r="D965" s="1745"/>
      <c r="E965" s="1745"/>
      <c r="F965" s="1745"/>
      <c r="G965" s="1745"/>
      <c r="H965" s="1745"/>
      <c r="I965" s="1745"/>
      <c r="J965" s="1745"/>
      <c r="K965" s="1745"/>
      <c r="L965" s="1745"/>
      <c r="M965" s="1745"/>
      <c r="N965" s="1745"/>
      <c r="O965" s="1745"/>
      <c r="P965" s="1745"/>
      <c r="Q965" s="1745"/>
    </row>
    <row r="966" spans="1:17" ht="15">
      <c r="A966" s="1750"/>
      <c r="B966" s="1745"/>
      <c r="C966" s="1745"/>
      <c r="D966" s="1745"/>
      <c r="E966" s="1745"/>
      <c r="F966" s="1745"/>
      <c r="G966" s="1745"/>
      <c r="H966" s="1745"/>
      <c r="I966" s="1745"/>
      <c r="J966" s="1745"/>
      <c r="K966" s="1745"/>
      <c r="L966" s="1745"/>
      <c r="M966" s="1745"/>
      <c r="N966" s="1745"/>
      <c r="O966" s="1745"/>
      <c r="P966" s="1745"/>
      <c r="Q966" s="1750"/>
    </row>
    <row r="967" spans="1:17" ht="15">
      <c r="A967" s="1745"/>
      <c r="B967" s="1747"/>
      <c r="C967" s="1746"/>
      <c r="D967" s="1746"/>
      <c r="E967" s="1746"/>
      <c r="F967" s="1746"/>
      <c r="G967" s="1746"/>
      <c r="H967" s="1746"/>
      <c r="I967" s="1746"/>
      <c r="J967" s="1746"/>
      <c r="K967" s="1746"/>
      <c r="L967" s="1746"/>
      <c r="M967" s="1746"/>
      <c r="N967" s="1746"/>
      <c r="O967" s="1746"/>
      <c r="P967" s="1746"/>
      <c r="Q967" s="1748"/>
    </row>
    <row r="968" spans="1:17" ht="15">
      <c r="A968" s="2104" t="s">
        <v>68</v>
      </c>
      <c r="B968" s="2104" t="s">
        <v>1482</v>
      </c>
      <c r="C968" s="2104"/>
      <c r="D968" s="1746"/>
      <c r="E968" s="1746"/>
      <c r="F968" s="1746"/>
      <c r="G968" s="1746"/>
      <c r="H968" s="1746"/>
      <c r="I968" s="1746"/>
      <c r="J968" s="1746"/>
      <c r="K968" s="1746"/>
      <c r="L968" s="1745"/>
      <c r="M968" s="1745"/>
      <c r="N968" s="1745"/>
      <c r="O968" s="2105" t="s">
        <v>1450</v>
      </c>
      <c r="P968" s="1750"/>
      <c r="Q968" s="1750"/>
    </row>
    <row r="969" spans="1:17" ht="15" customHeight="1">
      <c r="A969" s="2105"/>
      <c r="B969" s="1745" t="s">
        <v>1483</v>
      </c>
      <c r="C969" s="1745"/>
      <c r="D969" s="1745"/>
      <c r="E969" s="1745"/>
      <c r="F969" s="2120" t="str">
        <f>IF(L969="Ground lease/Option","Ground lease/Option:","")</f>
        <v>Ground lease/Option:</v>
      </c>
      <c r="G969" s="1745"/>
      <c r="H969" s="2121" t="str">
        <f>IF(L969="Ground lease/Option","Annual Pymt:","")</f>
        <v>Annual Pymt:</v>
      </c>
      <c r="I969" s="2122" t="str">
        <f>IF(M1009="Ground lease/Option",'Part V-Revenues &amp; Expenses'!$F$275,"")</f>
        <v/>
      </c>
      <c r="J969" s="2123" t="str">
        <f>IF(L969="Ground lease/Option","Term (yrs):","")</f>
        <v>Term (yrs):</v>
      </c>
      <c r="K969" s="2124" t="str">
        <f>IF(M1009="Ground lease/Option",'Part V-Revenues &amp; Expenses'!$L$275,"")</f>
        <v/>
      </c>
      <c r="L969" s="2107" t="str">
        <f>'Part VII-Threshold Criteria'!L97</f>
        <v>Ground lease/Option</v>
      </c>
      <c r="M969" s="1750"/>
      <c r="N969" s="1750"/>
      <c r="O969" s="1750" t="s">
        <v>720</v>
      </c>
      <c r="P969" s="1750"/>
      <c r="Q969" s="1750"/>
    </row>
    <row r="970" spans="1:17" ht="15">
      <c r="A970" s="2105"/>
      <c r="B970" s="1745" t="s">
        <v>1484</v>
      </c>
      <c r="C970" s="1745"/>
      <c r="D970" s="1745"/>
      <c r="E970" s="1745"/>
      <c r="F970" s="1745"/>
      <c r="G970" s="1745"/>
      <c r="H970" s="1745"/>
      <c r="I970" s="1745"/>
      <c r="J970" s="1745"/>
      <c r="K970" s="1745"/>
      <c r="L970" s="2107" t="str">
        <f>'Part VII-Threshold Criteria'!L98</f>
        <v>WV Jonesboro Senior II, LP</v>
      </c>
      <c r="M970" s="1745"/>
      <c r="N970" s="1745"/>
      <c r="O970" s="1745"/>
      <c r="P970" s="1745"/>
      <c r="Q970" s="1745"/>
    </row>
    <row r="971" spans="1:17" ht="15">
      <c r="A971" s="1745"/>
      <c r="B971" s="2110" t="s">
        <v>1456</v>
      </c>
      <c r="C971" s="1745"/>
      <c r="D971" s="2110"/>
      <c r="E971" s="2110"/>
      <c r="F971" s="2110"/>
      <c r="G971" s="2110"/>
      <c r="H971" s="1746"/>
      <c r="I971" s="1747"/>
      <c r="J971" s="1747"/>
      <c r="K971" s="1747"/>
      <c r="L971" s="1750"/>
      <c r="M971" s="1750"/>
      <c r="N971" s="1750"/>
      <c r="O971" s="1750"/>
      <c r="P971" s="1750"/>
      <c r="Q971" s="1750"/>
    </row>
    <row r="972" spans="1:17" ht="14.25">
      <c r="A972" s="2107" t="str">
        <f>'Part VII-Threshold Criteria'!A100</f>
        <v>Please see Tab 7 for site control.</v>
      </c>
      <c r="B972" s="2107"/>
      <c r="C972" s="2107"/>
      <c r="D972" s="2107"/>
      <c r="E972" s="2107"/>
      <c r="F972" s="2107"/>
      <c r="G972" s="2107"/>
      <c r="H972" s="2107"/>
      <c r="I972" s="2107"/>
      <c r="J972" s="2107"/>
      <c r="K972" s="2107"/>
      <c r="L972" s="2107"/>
      <c r="M972" s="2107"/>
      <c r="N972" s="2107"/>
      <c r="O972" s="2107"/>
      <c r="P972" s="2107"/>
      <c r="Q972" s="2107"/>
    </row>
    <row r="973" spans="1:17" ht="14.25">
      <c r="A973" s="1745"/>
      <c r="B973" s="2106" t="s">
        <v>1452</v>
      </c>
      <c r="C973" s="2106"/>
      <c r="D973" s="1745"/>
      <c r="E973" s="1745"/>
      <c r="F973" s="1745"/>
      <c r="G973" s="1745"/>
      <c r="H973" s="1745"/>
      <c r="I973" s="1745"/>
      <c r="J973" s="1745"/>
      <c r="K973" s="1745"/>
      <c r="L973" s="1745"/>
      <c r="M973" s="1745"/>
      <c r="N973" s="1745"/>
      <c r="O973" s="1745"/>
      <c r="P973" s="1745"/>
      <c r="Q973" s="1745"/>
    </row>
    <row r="974" spans="1:17" ht="14.25">
      <c r="A974" s="1745"/>
      <c r="B974" s="1745"/>
      <c r="C974" s="1745"/>
      <c r="D974" s="1745"/>
      <c r="E974" s="1745"/>
      <c r="F974" s="1745"/>
      <c r="G974" s="1745"/>
      <c r="H974" s="1745"/>
      <c r="I974" s="1745"/>
      <c r="J974" s="1745"/>
      <c r="K974" s="1745"/>
      <c r="L974" s="1745"/>
      <c r="M974" s="1745"/>
      <c r="N974" s="1745"/>
      <c r="O974" s="1745"/>
      <c r="P974" s="1745"/>
      <c r="Q974" s="1745"/>
    </row>
    <row r="975" spans="1:17" ht="15">
      <c r="A975" s="1750"/>
      <c r="B975" s="1745"/>
      <c r="C975" s="1745"/>
      <c r="D975" s="1745"/>
      <c r="E975" s="1745"/>
      <c r="F975" s="1745"/>
      <c r="G975" s="1745"/>
      <c r="H975" s="1745"/>
      <c r="I975" s="1745"/>
      <c r="J975" s="1745"/>
      <c r="K975" s="1745"/>
      <c r="L975" s="1745"/>
      <c r="M975" s="1745"/>
      <c r="N975" s="1745"/>
      <c r="O975" s="1745"/>
      <c r="P975" s="1745"/>
      <c r="Q975" s="1750"/>
    </row>
    <row r="976" spans="1:17" ht="15">
      <c r="A976" s="1745"/>
      <c r="B976" s="1747"/>
      <c r="C976" s="1746"/>
      <c r="D976" s="1746"/>
      <c r="E976" s="1746"/>
      <c r="F976" s="1746"/>
      <c r="G976" s="1746"/>
      <c r="H976" s="1746"/>
      <c r="I976" s="1746"/>
      <c r="J976" s="1746"/>
      <c r="K976" s="1746"/>
      <c r="L976" s="1746"/>
      <c r="M976" s="1746"/>
      <c r="N976" s="1745"/>
      <c r="O976" s="1745"/>
      <c r="P976" s="1745"/>
      <c r="Q976" s="1748"/>
    </row>
    <row r="977" spans="1:17" ht="15">
      <c r="A977" s="2104" t="s">
        <v>1481</v>
      </c>
      <c r="B977" s="2104" t="s">
        <v>1486</v>
      </c>
      <c r="C977" s="2104"/>
      <c r="D977" s="1746"/>
      <c r="E977" s="1746"/>
      <c r="F977" s="1746"/>
      <c r="G977" s="1746"/>
      <c r="H977" s="1746"/>
      <c r="I977" s="1746"/>
      <c r="J977" s="1746"/>
      <c r="K977" s="1746"/>
      <c r="L977" s="1746"/>
      <c r="M977" s="1746"/>
      <c r="N977" s="1745"/>
      <c r="O977" s="2105" t="s">
        <v>1450</v>
      </c>
      <c r="P977" s="1750"/>
      <c r="Q977" s="1750"/>
    </row>
    <row r="978" spans="1:17" ht="15">
      <c r="A978" s="1745"/>
      <c r="B978" s="2110" t="s">
        <v>1456</v>
      </c>
      <c r="C978" s="1745"/>
      <c r="D978" s="2110"/>
      <c r="E978" s="2110"/>
      <c r="F978" s="2110"/>
      <c r="G978" s="2110"/>
      <c r="H978" s="1746"/>
      <c r="I978" s="1747"/>
      <c r="J978" s="1747"/>
      <c r="K978" s="1747"/>
      <c r="L978" s="1748"/>
      <c r="M978" s="1748"/>
      <c r="N978" s="1748"/>
      <c r="O978" s="1748"/>
      <c r="P978" s="1750"/>
      <c r="Q978" s="1750"/>
    </row>
    <row r="979" spans="1:17" ht="14.25">
      <c r="A979" s="2107" t="str">
        <f>'Part VII-Threshold Criteria'!A107</f>
        <v>Site is fully accessible via paved road.</v>
      </c>
      <c r="B979" s="2107"/>
      <c r="C979" s="2107"/>
      <c r="D979" s="2107"/>
      <c r="E979" s="2107"/>
      <c r="F979" s="2107"/>
      <c r="G979" s="2107"/>
      <c r="H979" s="2107"/>
      <c r="I979" s="2107"/>
      <c r="J979" s="2107"/>
      <c r="K979" s="2107"/>
      <c r="L979" s="2107"/>
      <c r="M979" s="2107"/>
      <c r="N979" s="2107"/>
      <c r="O979" s="2107"/>
      <c r="P979" s="2107"/>
      <c r="Q979" s="2107"/>
    </row>
    <row r="980" spans="1:17" ht="14.25">
      <c r="A980" s="1745"/>
      <c r="B980" s="2106" t="s">
        <v>1452</v>
      </c>
      <c r="C980" s="2106"/>
      <c r="D980" s="1745"/>
      <c r="E980" s="1745"/>
      <c r="F980" s="1745"/>
      <c r="G980" s="1745"/>
      <c r="H980" s="1745"/>
      <c r="I980" s="1745"/>
      <c r="J980" s="1745"/>
      <c r="K980" s="1745"/>
      <c r="L980" s="1745"/>
      <c r="M980" s="1745"/>
      <c r="N980" s="1745"/>
      <c r="O980" s="1745"/>
      <c r="P980" s="1745"/>
      <c r="Q980" s="1745"/>
    </row>
    <row r="981" spans="1:17" ht="14.25">
      <c r="A981" s="1745"/>
      <c r="B981" s="1745"/>
      <c r="C981" s="1745"/>
      <c r="D981" s="1745"/>
      <c r="E981" s="1745"/>
      <c r="F981" s="1745"/>
      <c r="G981" s="1745"/>
      <c r="H981" s="1745"/>
      <c r="I981" s="1745"/>
      <c r="J981" s="1745"/>
      <c r="K981" s="1745"/>
      <c r="L981" s="1745"/>
      <c r="M981" s="1745"/>
      <c r="N981" s="1745"/>
      <c r="O981" s="1745"/>
      <c r="P981" s="1745"/>
      <c r="Q981" s="1745"/>
    </row>
    <row r="982" spans="1:17" ht="15">
      <c r="A982" s="1745"/>
      <c r="B982" s="1745"/>
      <c r="C982" s="1745"/>
      <c r="D982" s="1745"/>
      <c r="E982" s="1745"/>
      <c r="F982" s="1745"/>
      <c r="G982" s="1745"/>
      <c r="H982" s="1745"/>
      <c r="I982" s="1745"/>
      <c r="J982" s="1745"/>
      <c r="K982" s="1745"/>
      <c r="L982" s="1745"/>
      <c r="M982" s="1745"/>
      <c r="N982" s="1745"/>
      <c r="O982" s="1745"/>
      <c r="P982" s="1745"/>
      <c r="Q982" s="1750"/>
    </row>
    <row r="983" spans="1:17" ht="15">
      <c r="A983" s="1745"/>
      <c r="B983" s="1747"/>
      <c r="C983" s="1746"/>
      <c r="D983" s="1746"/>
      <c r="E983" s="1746"/>
      <c r="F983" s="1746"/>
      <c r="G983" s="1746"/>
      <c r="H983" s="1746"/>
      <c r="I983" s="1746"/>
      <c r="J983" s="1746"/>
      <c r="K983" s="1746"/>
      <c r="L983" s="1746"/>
      <c r="M983" s="1746"/>
      <c r="N983" s="1746"/>
      <c r="O983" s="1746"/>
      <c r="P983" s="1746"/>
      <c r="Q983" s="1748"/>
    </row>
    <row r="984" spans="1:17" ht="15">
      <c r="A984" s="2104" t="s">
        <v>1485</v>
      </c>
      <c r="B984" s="1750" t="s">
        <v>1488</v>
      </c>
      <c r="C984" s="1750"/>
      <c r="D984" s="1750"/>
      <c r="E984" s="1745"/>
      <c r="F984" s="1745"/>
      <c r="G984" s="1745"/>
      <c r="H984" s="1745"/>
      <c r="I984" s="1745"/>
      <c r="J984" s="1745"/>
      <c r="K984" s="1745"/>
      <c r="L984" s="1745"/>
      <c r="M984" s="1745"/>
      <c r="N984" s="1745"/>
      <c r="O984" s="2105" t="s">
        <v>1450</v>
      </c>
      <c r="P984" s="1750"/>
      <c r="Q984" s="1750"/>
    </row>
    <row r="985" spans="1:17" ht="15">
      <c r="A985" s="1745"/>
      <c r="B985" s="2106" t="s">
        <v>1456</v>
      </c>
      <c r="C985" s="1745"/>
      <c r="D985" s="2106"/>
      <c r="E985" s="2110"/>
      <c r="F985" s="2110"/>
      <c r="G985" s="2110"/>
      <c r="H985" s="1746"/>
      <c r="I985" s="1747"/>
      <c r="J985" s="1747"/>
      <c r="K985" s="1747"/>
      <c r="L985" s="1748"/>
      <c r="M985" s="1748"/>
      <c r="N985" s="1748"/>
      <c r="O985" s="1748"/>
      <c r="P985" s="1750"/>
      <c r="Q985" s="1750"/>
    </row>
    <row r="986" spans="1:17" ht="14.25">
      <c r="A986" s="2107" t="str">
        <f>'Part VII-Threshold Criteria'!A114</f>
        <v>The site is zoned correctly and the proposed development is allowed as is. Please see Tab 7 for zoning confirmation.</v>
      </c>
      <c r="B986" s="2107"/>
      <c r="C986" s="2107"/>
      <c r="D986" s="2107"/>
      <c r="E986" s="2107"/>
      <c r="F986" s="2107"/>
      <c r="G986" s="2107"/>
      <c r="H986" s="2107"/>
      <c r="I986" s="2107"/>
      <c r="J986" s="2107"/>
      <c r="K986" s="2107"/>
      <c r="L986" s="2107"/>
      <c r="M986" s="2107"/>
      <c r="N986" s="2107"/>
      <c r="O986" s="2107"/>
      <c r="P986" s="2107"/>
      <c r="Q986" s="2107"/>
    </row>
    <row r="987" spans="1:17" ht="14.25">
      <c r="A987" s="1745"/>
      <c r="B987" s="2106" t="s">
        <v>1452</v>
      </c>
      <c r="C987" s="2106"/>
      <c r="D987" s="1745"/>
      <c r="E987" s="1745"/>
      <c r="F987" s="1745"/>
      <c r="G987" s="1745"/>
      <c r="H987" s="1745"/>
      <c r="I987" s="1745"/>
      <c r="J987" s="1745"/>
      <c r="K987" s="1745"/>
      <c r="L987" s="1745"/>
      <c r="M987" s="1745"/>
      <c r="N987" s="1745"/>
      <c r="O987" s="1745"/>
      <c r="P987" s="1745"/>
      <c r="Q987" s="1745"/>
    </row>
    <row r="988" spans="1:17" ht="14.25">
      <c r="A988" s="1745"/>
      <c r="B988" s="1745"/>
      <c r="C988" s="1745"/>
      <c r="D988" s="1745"/>
      <c r="E988" s="1745"/>
      <c r="F988" s="1745"/>
      <c r="G988" s="1745"/>
      <c r="H988" s="1745"/>
      <c r="I988" s="1745"/>
      <c r="J988" s="1745"/>
      <c r="K988" s="1745"/>
      <c r="L988" s="1745"/>
      <c r="M988" s="1745"/>
      <c r="N988" s="1745"/>
      <c r="O988" s="1745"/>
      <c r="P988" s="1745"/>
      <c r="Q988" s="1745"/>
    </row>
    <row r="989" spans="1:17" ht="15">
      <c r="A989" s="1750"/>
      <c r="B989" s="1745"/>
      <c r="C989" s="1745"/>
      <c r="D989" s="1745"/>
      <c r="E989" s="1745"/>
      <c r="F989" s="1745"/>
      <c r="G989" s="1745"/>
      <c r="H989" s="1745"/>
      <c r="I989" s="1745"/>
      <c r="J989" s="1745"/>
      <c r="K989" s="1745"/>
      <c r="L989" s="1745"/>
      <c r="M989" s="1745"/>
      <c r="N989" s="1745"/>
      <c r="O989" s="1745"/>
      <c r="P989" s="1745"/>
      <c r="Q989" s="1750"/>
    </row>
    <row r="990" spans="1:17" ht="15">
      <c r="A990" s="1745"/>
      <c r="B990" s="1747"/>
      <c r="C990" s="1746"/>
      <c r="D990" s="1746"/>
      <c r="E990" s="1746"/>
      <c r="F990" s="1746"/>
      <c r="G990" s="1746"/>
      <c r="H990" s="1746"/>
      <c r="I990" s="1746"/>
      <c r="J990" s="1746"/>
      <c r="K990" s="1746"/>
      <c r="L990" s="1746"/>
      <c r="M990" s="1746"/>
      <c r="N990" s="1746"/>
      <c r="O990" s="1746"/>
      <c r="P990" s="1746"/>
      <c r="Q990" s="1748"/>
    </row>
    <row r="991" spans="1:17" ht="15">
      <c r="A991" s="2104" t="s">
        <v>1487</v>
      </c>
      <c r="B991" s="2104" t="s">
        <v>1490</v>
      </c>
      <c r="C991" s="2104"/>
      <c r="D991" s="1746"/>
      <c r="E991" s="1746"/>
      <c r="F991" s="1745"/>
      <c r="G991" s="1746"/>
      <c r="H991" s="1745"/>
      <c r="I991" s="1745"/>
      <c r="J991" s="1745"/>
      <c r="K991" s="1745"/>
      <c r="L991" s="1745"/>
      <c r="M991" s="1745"/>
      <c r="N991" s="1745"/>
      <c r="O991" s="2105" t="s">
        <v>1450</v>
      </c>
      <c r="P991" s="1750"/>
      <c r="Q991" s="1750"/>
    </row>
    <row r="992" spans="1:17" ht="15">
      <c r="A992" s="2105"/>
      <c r="B992" s="1745" t="s">
        <v>1491</v>
      </c>
      <c r="C992" s="1745"/>
      <c r="D992" s="1745"/>
      <c r="E992" s="1745"/>
      <c r="F992" s="1745"/>
      <c r="G992" s="1745"/>
      <c r="H992" s="1745"/>
      <c r="I992" s="1745"/>
      <c r="J992" s="1745" t="s">
        <v>1492</v>
      </c>
      <c r="K992" s="1745"/>
      <c r="L992" s="1745"/>
      <c r="M992" s="2107" t="str">
        <f>'Part VII-Threshold Criteria'!M120</f>
        <v>NA</v>
      </c>
      <c r="N992" s="1750"/>
      <c r="O992" s="1750"/>
      <c r="P992" s="1750"/>
      <c r="Q992" s="1750"/>
    </row>
    <row r="993" spans="1:17" ht="15">
      <c r="A993" s="2105"/>
      <c r="B993" s="2105"/>
      <c r="C993" s="1745"/>
      <c r="D993" s="1745"/>
      <c r="E993" s="1745"/>
      <c r="F993" s="1745"/>
      <c r="G993" s="1745"/>
      <c r="H993" s="1745"/>
      <c r="I993" s="1745"/>
      <c r="J993" s="1745" t="s">
        <v>1494</v>
      </c>
      <c r="K993" s="1745"/>
      <c r="L993" s="1745"/>
      <c r="M993" s="2107" t="str">
        <f>'Part VII-Threshold Criteria'!M121</f>
        <v>Georgia Power Company</v>
      </c>
      <c r="N993" s="1750"/>
      <c r="O993" s="1750"/>
      <c r="P993" s="1750"/>
      <c r="Q993" s="1750"/>
    </row>
    <row r="994" spans="1:17" ht="15">
      <c r="A994" s="2105"/>
      <c r="B994" s="2110" t="s">
        <v>1456</v>
      </c>
      <c r="C994" s="1745"/>
      <c r="D994" s="1745"/>
      <c r="E994" s="1745"/>
      <c r="F994" s="1745"/>
      <c r="G994" s="1745"/>
      <c r="H994" s="1745"/>
      <c r="I994" s="1745"/>
      <c r="J994" s="1745"/>
      <c r="K994" s="1745"/>
      <c r="L994" s="1745"/>
      <c r="M994" s="1745"/>
      <c r="N994" s="1745"/>
      <c r="O994" s="1745"/>
      <c r="P994" s="1745"/>
      <c r="Q994" s="1745"/>
    </row>
    <row r="995" spans="1:17" ht="14.25">
      <c r="A995" s="2107" t="str">
        <f>'Part VII-Threshold Criteria'!A123</f>
        <v>Please see Tab 7 for utility letter from Georgia Power confirming availability.</v>
      </c>
      <c r="B995" s="2107"/>
      <c r="C995" s="2107"/>
      <c r="D995" s="2107"/>
      <c r="E995" s="2107"/>
      <c r="F995" s="2107"/>
      <c r="G995" s="2107"/>
      <c r="H995" s="2107"/>
      <c r="I995" s="2107"/>
      <c r="J995" s="2107"/>
      <c r="K995" s="2107"/>
      <c r="L995" s="2107"/>
      <c r="M995" s="2107"/>
      <c r="N995" s="2107"/>
      <c r="O995" s="2107"/>
      <c r="P995" s="2107"/>
      <c r="Q995" s="2107"/>
    </row>
    <row r="996" spans="1:17" ht="14.25">
      <c r="A996" s="1745"/>
      <c r="B996" s="2106" t="s">
        <v>1452</v>
      </c>
      <c r="C996" s="2106"/>
      <c r="D996" s="1745"/>
      <c r="E996" s="1745"/>
      <c r="F996" s="1745"/>
      <c r="G996" s="1745"/>
      <c r="H996" s="1745"/>
      <c r="I996" s="1745"/>
      <c r="J996" s="1745"/>
      <c r="K996" s="1745"/>
      <c r="L996" s="1745"/>
      <c r="M996" s="1745"/>
      <c r="N996" s="1745"/>
      <c r="O996" s="1745"/>
      <c r="P996" s="1745"/>
      <c r="Q996" s="1745"/>
    </row>
    <row r="997" spans="1:17" ht="14.25">
      <c r="A997" s="1745"/>
      <c r="B997" s="1745"/>
      <c r="C997" s="1745"/>
      <c r="D997" s="1745"/>
      <c r="E997" s="1745"/>
      <c r="F997" s="1745"/>
      <c r="G997" s="1745"/>
      <c r="H997" s="1745"/>
      <c r="I997" s="1745"/>
      <c r="J997" s="1745"/>
      <c r="K997" s="1745"/>
      <c r="L997" s="1745"/>
      <c r="M997" s="1745"/>
      <c r="N997" s="1745"/>
      <c r="O997" s="1745"/>
      <c r="P997" s="1745"/>
      <c r="Q997" s="1745"/>
    </row>
    <row r="998" spans="1:17" ht="15">
      <c r="A998" s="1745"/>
      <c r="B998" s="1745"/>
      <c r="C998" s="1745"/>
      <c r="D998" s="1745"/>
      <c r="E998" s="1745"/>
      <c r="F998" s="1745"/>
      <c r="G998" s="1745"/>
      <c r="H998" s="1745"/>
      <c r="I998" s="1745"/>
      <c r="J998" s="1745"/>
      <c r="K998" s="1745"/>
      <c r="L998" s="1745"/>
      <c r="M998" s="1745"/>
      <c r="N998" s="1745"/>
      <c r="O998" s="1745"/>
      <c r="P998" s="1745"/>
      <c r="Q998" s="1750"/>
    </row>
    <row r="999" spans="1:17" ht="15">
      <c r="A999" s="1745"/>
      <c r="B999" s="1747"/>
      <c r="C999" s="1746"/>
      <c r="D999" s="1746"/>
      <c r="E999" s="1746"/>
      <c r="F999" s="1746"/>
      <c r="G999" s="1746"/>
      <c r="H999" s="1746"/>
      <c r="I999" s="1746"/>
      <c r="J999" s="1746"/>
      <c r="K999" s="1746"/>
      <c r="L999" s="1746"/>
      <c r="M999" s="1746"/>
      <c r="N999" s="1745"/>
      <c r="O999" s="1745"/>
      <c r="P999" s="1745"/>
      <c r="Q999" s="1748"/>
    </row>
    <row r="1000" spans="1:17" ht="15">
      <c r="A1000" s="2104" t="s">
        <v>1489</v>
      </c>
      <c r="B1000" s="1750" t="s">
        <v>1496</v>
      </c>
      <c r="C1000" s="1750"/>
      <c r="D1000" s="1750"/>
      <c r="E1000" s="1750"/>
      <c r="F1000" s="1750"/>
      <c r="G1000" s="1746"/>
      <c r="H1000" s="1746"/>
      <c r="I1000" s="1745"/>
      <c r="J1000" s="1746"/>
      <c r="K1000" s="1746"/>
      <c r="L1000" s="1746"/>
      <c r="M1000" s="1746"/>
      <c r="N1000" s="1745"/>
      <c r="O1000" s="2105" t="s">
        <v>1450</v>
      </c>
      <c r="P1000" s="1750"/>
      <c r="Q1000" s="1750"/>
    </row>
    <row r="1001" spans="1:17" ht="15">
      <c r="A1001" s="2105"/>
      <c r="B1001" s="1745" t="s">
        <v>1497</v>
      </c>
      <c r="C1001" s="1745"/>
      <c r="D1001" s="1745"/>
      <c r="E1001" s="1745"/>
      <c r="F1001" s="1745"/>
      <c r="G1001" s="1745"/>
      <c r="H1001" s="1745"/>
      <c r="I1001" s="1745"/>
      <c r="J1001" s="1745" t="s">
        <v>1498</v>
      </c>
      <c r="K1001" s="1745"/>
      <c r="L1001" s="1745"/>
      <c r="M1001" s="2107" t="str">
        <f>'Part VII-Threshold Criteria'!M129</f>
        <v>Clayton County Water &amp; Sewer</v>
      </c>
      <c r="N1001" s="1750"/>
      <c r="O1001" s="1750"/>
      <c r="P1001" s="1750"/>
      <c r="Q1001" s="1750"/>
    </row>
    <row r="1002" spans="1:17" ht="15">
      <c r="A1002" s="1745"/>
      <c r="B1002" s="2105"/>
      <c r="C1002" s="1745"/>
      <c r="D1002" s="1745"/>
      <c r="E1002" s="1745"/>
      <c r="F1002" s="1745"/>
      <c r="G1002" s="1745"/>
      <c r="H1002" s="1745"/>
      <c r="I1002" s="1745"/>
      <c r="J1002" s="1745" t="s">
        <v>1499</v>
      </c>
      <c r="K1002" s="1745"/>
      <c r="L1002" s="1745"/>
      <c r="M1002" s="2107" t="str">
        <f>'Part VII-Threshold Criteria'!M130</f>
        <v>Clayton County Water &amp; Sewer</v>
      </c>
      <c r="N1002" s="1750"/>
      <c r="O1002" s="1750"/>
      <c r="P1002" s="1750"/>
      <c r="Q1002" s="1750"/>
    </row>
    <row r="1003" spans="1:17" ht="15">
      <c r="A1003" s="1745"/>
      <c r="B1003" s="2110" t="s">
        <v>1456</v>
      </c>
      <c r="C1003" s="1745"/>
      <c r="D1003" s="2110"/>
      <c r="E1003" s="2110"/>
      <c r="F1003" s="2110"/>
      <c r="G1003" s="2110"/>
      <c r="H1003" s="1746"/>
      <c r="I1003" s="1747"/>
      <c r="J1003" s="1747"/>
      <c r="K1003" s="1747"/>
      <c r="L1003" s="1748"/>
      <c r="M1003" s="1750"/>
      <c r="N1003" s="1750"/>
      <c r="O1003" s="1750"/>
      <c r="P1003" s="1750"/>
      <c r="Q1003" s="1750"/>
    </row>
    <row r="1004" spans="1:17" ht="14.25">
      <c r="A1004" s="2107" t="str">
        <f>'Part VII-Threshold Criteria'!A132</f>
        <v>Please see Tab 7 for water/sewer letter confirming availability.</v>
      </c>
      <c r="B1004" s="2107"/>
      <c r="C1004" s="2107"/>
      <c r="D1004" s="2107"/>
      <c r="E1004" s="2107"/>
      <c r="F1004" s="2107"/>
      <c r="G1004" s="2107"/>
      <c r="H1004" s="2107"/>
      <c r="I1004" s="2107"/>
      <c r="J1004" s="2107"/>
      <c r="K1004" s="2107"/>
      <c r="L1004" s="2107"/>
      <c r="M1004" s="2107"/>
      <c r="N1004" s="2107"/>
      <c r="O1004" s="2107"/>
      <c r="P1004" s="2107"/>
      <c r="Q1004" s="2107"/>
    </row>
    <row r="1005" spans="1:17" ht="14.25">
      <c r="A1005" s="1745"/>
      <c r="B1005" s="2106" t="s">
        <v>1452</v>
      </c>
      <c r="C1005" s="2106"/>
      <c r="D1005" s="1745"/>
      <c r="E1005" s="1745"/>
      <c r="F1005" s="1745"/>
      <c r="G1005" s="1745"/>
      <c r="H1005" s="1745"/>
      <c r="I1005" s="1745"/>
      <c r="J1005" s="1745"/>
      <c r="K1005" s="1745"/>
      <c r="L1005" s="1745"/>
      <c r="M1005" s="1745"/>
      <c r="N1005" s="1745"/>
      <c r="O1005" s="1745"/>
      <c r="P1005" s="1745"/>
      <c r="Q1005" s="1745"/>
    </row>
    <row r="1006" spans="1:17" ht="14.25">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5">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5">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5">
      <c r="A1009" s="2104" t="s">
        <v>1495</v>
      </c>
      <c r="B1009" s="2104" t="s">
        <v>1501</v>
      </c>
      <c r="C1009" s="2104"/>
      <c r="D1009" s="1746"/>
      <c r="E1009" s="1746"/>
      <c r="F1009" s="1746"/>
      <c r="G1009" s="1746"/>
      <c r="H1009" s="1746"/>
      <c r="I1009" s="1746"/>
      <c r="J1009" s="1746"/>
      <c r="K1009" s="1746"/>
      <c r="L1009" s="1746"/>
      <c r="M1009" s="1746"/>
      <c r="N1009" s="1745"/>
      <c r="O1009" s="2105" t="s">
        <v>1450</v>
      </c>
      <c r="P1009" s="1750"/>
      <c r="Q1009" s="1750"/>
    </row>
    <row r="1010" spans="1:17" ht="15" customHeight="1">
      <c r="A1010" s="1745"/>
      <c r="B1010" s="1745" t="s">
        <v>7571</v>
      </c>
      <c r="C1010" s="1745"/>
      <c r="D1010" s="1745"/>
      <c r="E1010" s="1745"/>
      <c r="F1010" s="1745"/>
      <c r="G1010" s="1745"/>
      <c r="H1010" s="1745"/>
      <c r="I1010" s="1745"/>
      <c r="J1010" s="1745"/>
      <c r="K1010" s="1745"/>
      <c r="L1010" s="1745"/>
      <c r="M1010" s="1745"/>
      <c r="N1010" s="1745"/>
      <c r="O1010" s="1745"/>
      <c r="P1010" s="1750" t="str">
        <f>'Part VII-Threshold Criteria'!P138</f>
        <v>Yes</v>
      </c>
      <c r="Q1010" s="1750"/>
    </row>
    <row r="1011" spans="1:17" ht="15">
      <c r="A1011" s="2105" t="s">
        <v>185</v>
      </c>
      <c r="B1011" s="1745" t="s">
        <v>7572</v>
      </c>
      <c r="C1011" s="1745"/>
      <c r="D1011" s="1745"/>
      <c r="E1011" s="1745"/>
      <c r="F1011" s="1745"/>
      <c r="G1011" s="1745"/>
      <c r="H1011" s="1745"/>
      <c r="I1011" s="1745"/>
      <c r="J1011" s="1745"/>
      <c r="K1011" s="1745"/>
      <c r="L1011" s="1745"/>
      <c r="M1011" s="1745"/>
      <c r="N1011" s="1745"/>
      <c r="O1011" s="1745"/>
      <c r="P1011" s="1745"/>
      <c r="Q1011" s="1745"/>
    </row>
    <row r="1012" spans="1:17" ht="15">
      <c r="A1012" s="2105"/>
      <c r="B1012" s="1746"/>
      <c r="C1012" s="1745" t="s">
        <v>1504</v>
      </c>
      <c r="D1012" s="1745"/>
      <c r="E1012" s="1745"/>
      <c r="F1012" s="1745"/>
      <c r="G1012" s="1745"/>
      <c r="H1012" s="1745"/>
      <c r="I1012" s="1745"/>
      <c r="J1012" s="2115"/>
      <c r="K1012" s="1745"/>
      <c r="L1012" s="1745"/>
      <c r="M1012" s="2107" t="str">
        <f>'Part VII-Threshold Criteria'!M140</f>
        <v>Room</v>
      </c>
      <c r="N1012" s="1750"/>
      <c r="O1012" s="1750"/>
      <c r="P1012" s="1750"/>
      <c r="Q1012" s="1750"/>
    </row>
    <row r="1013" spans="1:17" ht="15">
      <c r="A1013" s="2105"/>
      <c r="B1013" s="1746"/>
      <c r="C1013" s="1746" t="s">
        <v>1505</v>
      </c>
      <c r="D1013" s="1745"/>
      <c r="E1013" s="1746"/>
      <c r="F1013" s="1746"/>
      <c r="G1013" s="1746"/>
      <c r="H1013" s="1746"/>
      <c r="I1013" s="1745"/>
      <c r="J1013" s="2115"/>
      <c r="K1013" s="1745"/>
      <c r="L1013" s="1745"/>
      <c r="M1013" s="2107" t="str">
        <f>'Part VII-Threshold Criteria'!M141</f>
        <v>Covered Porch</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5">
      <c r="A1015" s="2105"/>
      <c r="B1015" s="1746"/>
      <c r="C1015" s="1745" t="s">
        <v>1507</v>
      </c>
      <c r="D1015" s="1745"/>
      <c r="E1015" s="1745"/>
      <c r="F1015" s="1745"/>
      <c r="G1015" s="1745"/>
      <c r="H1015" s="1745"/>
      <c r="I1015" s="1745"/>
      <c r="J1015" s="1745"/>
      <c r="K1015" s="1745"/>
      <c r="L1015" s="1745"/>
      <c r="M1015" s="2107" t="str">
        <f>'Part VII-Threshold Criteria'!M143</f>
        <v>On-site laundry</v>
      </c>
      <c r="N1015" s="1750"/>
      <c r="O1015" s="1750"/>
      <c r="P1015" s="1750"/>
      <c r="Q1015" s="1750"/>
    </row>
    <row r="1016" spans="1:17" ht="15" customHeight="1">
      <c r="A1016" s="2105" t="s">
        <v>197</v>
      </c>
      <c r="B1016" s="1745" t="s">
        <v>7573</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7574</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1510</v>
      </c>
      <c r="C1018" s="2107" t="str">
        <f>'Part VII-Threshold Criteria'!C146</f>
        <v xml:space="preserve">Equipped Computer Center and WiFi </v>
      </c>
      <c r="D1018" s="2107"/>
      <c r="E1018" s="2107"/>
      <c r="F1018" s="2107"/>
      <c r="G1018" s="2107"/>
      <c r="H1018" s="2107"/>
      <c r="I1018" s="1745"/>
      <c r="J1018" s="2107" t="str">
        <f>'Part VII-Threshold Criteria'!J146</f>
        <v>(If DCA Pre-Approved amenity not listed in Architectural Manual, describe here)</v>
      </c>
      <c r="K1018" s="2107"/>
      <c r="L1018" s="2107"/>
      <c r="M1018" s="2107"/>
      <c r="N1018" s="2107"/>
      <c r="O1018" s="2107"/>
      <c r="P1018" s="2107"/>
      <c r="Q1018" s="2107"/>
    </row>
    <row r="1019" spans="1:17" ht="15" customHeight="1">
      <c r="A1019" s="1748"/>
      <c r="B1019" s="2119" t="s">
        <v>1513</v>
      </c>
      <c r="C1019" s="2107" t="str">
        <f>'Part VII-Threshold Criteria'!C147</f>
        <v>Furnished Exercise /Fitness Center</v>
      </c>
      <c r="D1019" s="2107"/>
      <c r="E1019" s="2107"/>
      <c r="F1019" s="2107"/>
      <c r="G1019" s="2107"/>
      <c r="H1019" s="2107"/>
      <c r="I1019" s="1745"/>
      <c r="J1019" s="2107" t="str">
        <f>'Part VII-Threshold Criteria'!J147</f>
        <v>(If DCA Pre-Approved amenity not listed in Architectural Manual, describe here)</v>
      </c>
      <c r="K1019" s="2107"/>
      <c r="L1019" s="2107"/>
      <c r="M1019" s="2107"/>
      <c r="N1019" s="2107"/>
      <c r="O1019" s="2107"/>
      <c r="P1019" s="2107"/>
      <c r="Q1019" s="2107"/>
    </row>
    <row r="1020" spans="1:17" ht="15" customHeight="1">
      <c r="A1020" s="1748"/>
      <c r="B1020" s="2119" t="s">
        <v>1514</v>
      </c>
      <c r="C1020" s="2107" t="str">
        <f>'Part VII-Threshold Criteria'!C148</f>
        <v>(Select an amenity from options provided here)</v>
      </c>
      <c r="D1020" s="2107"/>
      <c r="E1020" s="2107"/>
      <c r="F1020" s="2107"/>
      <c r="G1020" s="2107"/>
      <c r="H1020" s="2107"/>
      <c r="I1020" s="1745"/>
      <c r="J1020" s="2107" t="str">
        <f>'Part VII-Threshold Criteria'!J148</f>
        <v>(If DCA Pre-Approved amenity not listed in Architectural Manual, describe here)</v>
      </c>
      <c r="K1020" s="2107"/>
      <c r="L1020" s="2107"/>
      <c r="M1020" s="2107"/>
      <c r="N1020" s="2107"/>
      <c r="O1020" s="2107"/>
      <c r="P1020" s="2107"/>
      <c r="Q1020" s="2107"/>
    </row>
    <row r="1021" spans="1:17" ht="15" customHeight="1">
      <c r="A1021" s="1748"/>
      <c r="B1021" s="2119" t="s">
        <v>1515</v>
      </c>
      <c r="C1021" s="2107" t="str">
        <f>'Part VII-Threshold Criteria'!C149</f>
        <v>(Select an amenity from options provided here)</v>
      </c>
      <c r="D1021" s="2107"/>
      <c r="E1021" s="2107"/>
      <c r="F1021" s="2107"/>
      <c r="G1021" s="2107"/>
      <c r="H1021" s="2107"/>
      <c r="I1021" s="1745"/>
      <c r="J1021" s="2107" t="str">
        <f>'Part VII-Threshold Criteria'!J149</f>
        <v>(If DCA Pre-Approved amenity not listed in Architectural Manual, describe here)</v>
      </c>
      <c r="K1021" s="2107"/>
      <c r="L1021" s="2107"/>
      <c r="M1021" s="2107"/>
      <c r="N1021" s="2107"/>
      <c r="O1021" s="2107"/>
      <c r="P1021" s="2107"/>
      <c r="Q1021" s="2107"/>
    </row>
    <row r="1022" spans="1:17" ht="15">
      <c r="A1022" s="1745"/>
      <c r="B1022" s="2110" t="s">
        <v>1456</v>
      </c>
      <c r="C1022" s="1745"/>
      <c r="D1022" s="2106"/>
      <c r="E1022" s="2106"/>
      <c r="F1022" s="2106"/>
      <c r="G1022" s="2106"/>
      <c r="H1022" s="1745"/>
      <c r="I1022" s="1747"/>
      <c r="J1022" s="1745"/>
      <c r="K1022" s="1745"/>
      <c r="L1022" s="1750"/>
      <c r="M1022" s="1750"/>
      <c r="N1022" s="1750"/>
      <c r="O1022" s="1750"/>
      <c r="P1022" s="1745"/>
      <c r="Q1022" s="1745"/>
    </row>
    <row r="1023" spans="1:17" ht="14.25">
      <c r="A1023" s="2107" t="str">
        <f>'Part VII-Threshold Criteria'!A151</f>
        <v>Please see Tab 7 for the CSDP confirming the above required and slected amenities.</v>
      </c>
      <c r="B1023" s="2107"/>
      <c r="C1023" s="2107"/>
      <c r="D1023" s="2107"/>
      <c r="E1023" s="2107"/>
      <c r="F1023" s="2107"/>
      <c r="G1023" s="2107"/>
      <c r="H1023" s="2107"/>
      <c r="I1023" s="2107"/>
      <c r="J1023" s="2107"/>
      <c r="K1023" s="2107"/>
      <c r="L1023" s="2107"/>
      <c r="M1023" s="2107"/>
      <c r="N1023" s="2107"/>
      <c r="O1023" s="2107"/>
      <c r="P1023" s="2107"/>
      <c r="Q1023" s="2107"/>
    </row>
    <row r="1024" spans="1:17" ht="14.25">
      <c r="A1024" s="1745"/>
      <c r="B1024" s="2106" t="s">
        <v>1452</v>
      </c>
      <c r="C1024" s="2106"/>
      <c r="D1024" s="1745"/>
      <c r="E1024" s="1745"/>
      <c r="F1024" s="1745"/>
      <c r="G1024" s="1745"/>
      <c r="H1024" s="1745"/>
      <c r="I1024" s="1745"/>
      <c r="J1024" s="1745"/>
      <c r="K1024" s="1745"/>
      <c r="L1024" s="1745"/>
      <c r="M1024" s="1745"/>
      <c r="N1024" s="1745"/>
      <c r="O1024" s="1745"/>
      <c r="P1024" s="1745"/>
      <c r="Q1024" s="1745"/>
    </row>
    <row r="1025" spans="1:17" ht="14.25">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5">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5">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5">
      <c r="A1028" s="2104" t="s">
        <v>1500</v>
      </c>
      <c r="B1028" s="1750" t="s">
        <v>1517</v>
      </c>
      <c r="C1028" s="1750"/>
      <c r="D1028" s="1750"/>
      <c r="E1028" s="1750"/>
      <c r="F1028" s="1750"/>
      <c r="G1028" s="1750"/>
      <c r="H1028" s="1746"/>
      <c r="I1028" s="1746"/>
      <c r="J1028" s="1746"/>
      <c r="K1028" s="1746"/>
      <c r="L1028" s="2109"/>
      <c r="M1028" s="2125"/>
      <c r="N1028" s="1745"/>
      <c r="O1028" s="2105" t="s">
        <v>1450</v>
      </c>
      <c r="P1028" s="1750"/>
      <c r="Q1028" s="1750"/>
    </row>
    <row r="1029" spans="1:17" ht="15">
      <c r="A1029" s="1745"/>
      <c r="B1029" s="1745" t="s">
        <v>1454</v>
      </c>
      <c r="C1029" s="1745"/>
      <c r="D1029" s="1745"/>
      <c r="E1029" s="1745"/>
      <c r="F1029" s="1745"/>
      <c r="G1029" s="1745"/>
      <c r="H1029" s="1745"/>
      <c r="I1029" s="1745"/>
      <c r="J1029" s="1745"/>
      <c r="K1029" s="1745"/>
      <c r="L1029" s="1745"/>
      <c r="M1029" s="1745"/>
      <c r="N1029" s="1747"/>
      <c r="O1029" s="1745"/>
      <c r="P1029" s="1750">
        <f>'Part VII-Threshold Criteria'!P157</f>
        <v>0</v>
      </c>
      <c r="Q1029" s="1750"/>
    </row>
    <row r="1030" spans="1:17" ht="15" customHeight="1">
      <c r="A1030" s="2105"/>
      <c r="B1030" s="1745" t="s">
        <v>1518</v>
      </c>
      <c r="C1030" s="1745"/>
      <c r="D1030" s="1745"/>
      <c r="E1030" s="1745"/>
      <c r="F1030" s="1745"/>
      <c r="G1030" s="1745"/>
      <c r="H1030" s="1745"/>
      <c r="I1030" s="1745"/>
      <c r="J1030" s="1745"/>
      <c r="K1030" s="1745"/>
      <c r="L1030" s="1745"/>
      <c r="M1030" s="2107" t="str">
        <f>'Part VII-Threshold Criteria'!M158</f>
        <v>&lt;&lt;Select&gt;&gt;</v>
      </c>
      <c r="N1030" s="1745"/>
      <c r="O1030" s="1745"/>
      <c r="P1030" s="1745"/>
      <c r="Q1030" s="1745"/>
    </row>
    <row r="1031" spans="1:17" ht="15">
      <c r="A1031" s="2105"/>
      <c r="B1031" s="1745" t="s">
        <v>1519</v>
      </c>
      <c r="C1031" s="1745"/>
      <c r="D1031" s="1745"/>
      <c r="E1031" s="1745"/>
      <c r="F1031" s="1745"/>
      <c r="G1031" s="1745"/>
      <c r="H1031" s="1745"/>
      <c r="I1031" s="1745"/>
      <c r="J1031" s="1745"/>
      <c r="K1031" s="1745"/>
      <c r="L1031" s="1745"/>
      <c r="M1031" s="2107">
        <f>'Part VII-Threshold Criteria'!M159</f>
        <v>0</v>
      </c>
      <c r="N1031" s="1745"/>
      <c r="O1031" s="1745"/>
      <c r="P1031" s="1745"/>
      <c r="Q1031" s="1745"/>
    </row>
    <row r="1032" spans="1:17" ht="15">
      <c r="A1032" s="1745"/>
      <c r="B1032" s="2110" t="s">
        <v>1456</v>
      </c>
      <c r="C1032" s="1745"/>
      <c r="D1032" s="2110"/>
      <c r="E1032" s="2110"/>
      <c r="F1032" s="2110"/>
      <c r="G1032" s="2110"/>
      <c r="H1032" s="1746"/>
      <c r="I1032" s="1747"/>
      <c r="J1032" s="1747"/>
      <c r="K1032" s="1747"/>
      <c r="L1032" s="1748"/>
      <c r="M1032" s="1750"/>
      <c r="N1032" s="1750"/>
      <c r="O1032" s="1750"/>
      <c r="P1032" s="1750"/>
      <c r="Q1032" s="1750"/>
    </row>
    <row r="1033" spans="1:17" ht="14.25">
      <c r="A1033" s="2107" t="str">
        <f>'Part VII-Threshold Criteria'!A161</f>
        <v>NA</v>
      </c>
      <c r="B1033" s="2107"/>
      <c r="C1033" s="2107"/>
      <c r="D1033" s="2107"/>
      <c r="E1033" s="2107"/>
      <c r="F1033" s="2107"/>
      <c r="G1033" s="2107"/>
      <c r="H1033" s="2107"/>
      <c r="I1033" s="2107"/>
      <c r="J1033" s="2107"/>
      <c r="K1033" s="2107"/>
      <c r="L1033" s="2107"/>
      <c r="M1033" s="2107"/>
      <c r="N1033" s="2107"/>
      <c r="O1033" s="2107"/>
      <c r="P1033" s="2107"/>
      <c r="Q1033" s="2107"/>
    </row>
    <row r="1034" spans="1:17" ht="14.25">
      <c r="A1034" s="1745"/>
      <c r="B1034" s="2106" t="s">
        <v>1452</v>
      </c>
      <c r="C1034" s="2106"/>
      <c r="D1034" s="1745"/>
      <c r="E1034" s="1745"/>
      <c r="F1034" s="1745"/>
      <c r="G1034" s="1745"/>
      <c r="H1034" s="1745"/>
      <c r="I1034" s="1745"/>
      <c r="J1034" s="1745"/>
      <c r="K1034" s="1745"/>
      <c r="L1034" s="1745"/>
      <c r="M1034" s="1745"/>
      <c r="N1034" s="1745"/>
      <c r="O1034" s="1745"/>
      <c r="P1034" s="1745"/>
      <c r="Q1034" s="1745"/>
    </row>
    <row r="1035" spans="1:17" ht="14.25">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5">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5">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5">
      <c r="A1038" s="2104" t="s">
        <v>1516</v>
      </c>
      <c r="B1038" s="1750" t="s">
        <v>1521</v>
      </c>
      <c r="C1038" s="1750"/>
      <c r="D1038" s="1750"/>
      <c r="E1038" s="1750"/>
      <c r="F1038" s="1750"/>
      <c r="G1038" s="1750"/>
      <c r="H1038" s="1746"/>
      <c r="I1038" s="1746"/>
      <c r="J1038" s="1746"/>
      <c r="K1038" s="1746"/>
      <c r="L1038" s="1746"/>
      <c r="M1038" s="1746"/>
      <c r="N1038" s="1745"/>
      <c r="O1038" s="2105" t="s">
        <v>1450</v>
      </c>
      <c r="P1038" s="1750"/>
      <c r="Q1038" s="1750"/>
    </row>
    <row r="1039" spans="1:17" ht="15">
      <c r="A1039" s="1745"/>
      <c r="B1039" s="2110" t="s">
        <v>1456</v>
      </c>
      <c r="C1039" s="1745"/>
      <c r="D1039" s="2110"/>
      <c r="E1039" s="2110"/>
      <c r="F1039" s="2110"/>
      <c r="G1039" s="2110"/>
      <c r="H1039" s="1746"/>
      <c r="I1039" s="1747"/>
      <c r="J1039" s="1747"/>
      <c r="K1039" s="1747"/>
      <c r="L1039" s="1748"/>
      <c r="M1039" s="1748"/>
      <c r="N1039" s="1748"/>
      <c r="O1039" s="1748"/>
      <c r="P1039" s="1750"/>
      <c r="Q1039" s="1750"/>
    </row>
    <row r="1040" spans="1:17" ht="14.25">
      <c r="A1040" s="2107" t="str">
        <f>'Part VII-Threshold Criteria'!A168</f>
        <v>Please see Tab 7 for the CSDP.</v>
      </c>
      <c r="B1040" s="2107"/>
      <c r="C1040" s="2107"/>
      <c r="D1040" s="2107"/>
      <c r="E1040" s="2107"/>
      <c r="F1040" s="2107"/>
      <c r="G1040" s="2107"/>
      <c r="H1040" s="2107"/>
      <c r="I1040" s="2107"/>
      <c r="J1040" s="2107"/>
      <c r="K1040" s="2107"/>
      <c r="L1040" s="2107"/>
      <c r="M1040" s="2107"/>
      <c r="N1040" s="2107"/>
      <c r="O1040" s="2107"/>
      <c r="P1040" s="2107"/>
      <c r="Q1040" s="2107"/>
    </row>
    <row r="1041" spans="1:17" ht="14.25">
      <c r="A1041" s="1745"/>
      <c r="B1041" s="2106" t="s">
        <v>1452</v>
      </c>
      <c r="C1041" s="2106"/>
      <c r="D1041" s="1745"/>
      <c r="E1041" s="1745"/>
      <c r="F1041" s="1745"/>
      <c r="G1041" s="1745"/>
      <c r="H1041" s="1745"/>
      <c r="I1041" s="1745"/>
      <c r="J1041" s="1745"/>
      <c r="K1041" s="1745"/>
      <c r="L1041" s="1745"/>
      <c r="M1041" s="1745"/>
      <c r="N1041" s="1745"/>
      <c r="O1041" s="1745"/>
      <c r="P1041" s="1745"/>
      <c r="Q1041" s="1745"/>
    </row>
    <row r="1042" spans="1:17" ht="14.25">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4.25">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4.25">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5">
      <c r="A1045" s="2104" t="s">
        <v>1520</v>
      </c>
      <c r="B1045" s="2104" t="s">
        <v>1523</v>
      </c>
      <c r="C1045" s="2104"/>
      <c r="D1045" s="1746"/>
      <c r="E1045" s="1746"/>
      <c r="F1045" s="1746"/>
      <c r="G1045" s="1746"/>
      <c r="H1045" s="1746"/>
      <c r="I1045" s="1746"/>
      <c r="J1045" s="1746"/>
      <c r="K1045" s="1746"/>
      <c r="L1045" s="1746"/>
      <c r="M1045" s="1746"/>
      <c r="N1045" s="1745"/>
      <c r="O1045" s="2105" t="s">
        <v>1450</v>
      </c>
      <c r="P1045" s="1750"/>
      <c r="Q1045" s="1750"/>
    </row>
    <row r="1046" spans="1:17" ht="15">
      <c r="A1046" s="2105" t="s">
        <v>185</v>
      </c>
      <c r="B1046" s="1750" t="s">
        <v>1524</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7575</v>
      </c>
      <c r="C1047" s="2107"/>
      <c r="D1047" s="2107"/>
      <c r="E1047" s="2107"/>
      <c r="F1047" s="2107"/>
      <c r="G1047" s="2107"/>
      <c r="H1047" s="2107"/>
      <c r="I1047" s="2107"/>
      <c r="J1047" s="2107"/>
      <c r="K1047" s="2107"/>
      <c r="L1047" s="2107"/>
      <c r="M1047" s="2107"/>
      <c r="N1047" s="2107"/>
      <c r="O1047" s="2107"/>
      <c r="P1047" s="1750" t="str">
        <f>'Part VII-Threshold Criteria'!P175</f>
        <v>Agree</v>
      </c>
      <c r="Q1047" s="2114"/>
    </row>
    <row r="1048" spans="1:17" ht="15">
      <c r="A1048" s="2105" t="s">
        <v>197</v>
      </c>
      <c r="B1048" s="1750" t="s">
        <v>1526</v>
      </c>
      <c r="C1048" s="1745"/>
      <c r="D1048" s="1745"/>
      <c r="E1048" s="1745"/>
      <c r="F1048" s="1745"/>
      <c r="G1048" s="1745"/>
      <c r="H1048" s="1745"/>
      <c r="I1048" s="1745"/>
      <c r="J1048" s="1745"/>
      <c r="K1048" s="1745"/>
      <c r="L1048" s="2107" t="str">
        <f>'Part VII-Threshold Criteria'!L176</f>
        <v>Earth Craft House Multifamily</v>
      </c>
      <c r="M1048" s="1750"/>
      <c r="N1048" s="1750"/>
      <c r="O1048" s="1750"/>
      <c r="P1048" s="1750"/>
      <c r="Q1048" s="1750"/>
    </row>
    <row r="1049" spans="1:17" ht="15">
      <c r="A1049" s="1745"/>
      <c r="B1049" s="2110" t="s">
        <v>1456</v>
      </c>
      <c r="C1049" s="1745"/>
      <c r="D1049" s="1745"/>
      <c r="E1049" s="1745"/>
      <c r="F1049" s="1745"/>
      <c r="G1049" s="1745"/>
      <c r="H1049" s="1745"/>
      <c r="I1049" s="1745"/>
      <c r="J1049" s="1745"/>
      <c r="K1049" s="1745"/>
      <c r="L1049" s="1745"/>
      <c r="M1049" s="1745"/>
      <c r="N1049" s="1745"/>
      <c r="O1049" s="2126"/>
      <c r="P1049" s="1750"/>
      <c r="Q1049" s="1745"/>
    </row>
    <row r="1050" spans="1:17" ht="14.25">
      <c r="A1050" s="2107" t="str">
        <f>'Part VII-Threshold Criteria'!A178</f>
        <v>Applicant certifies that, at a minimum, all dwelling units will comply with the requirements of the 2026-2027 QAP, XVII Building Sustainability and the 2026 Architectural Manual.</v>
      </c>
      <c r="B1050" s="2107"/>
      <c r="C1050" s="2107"/>
      <c r="D1050" s="2107"/>
      <c r="E1050" s="2107"/>
      <c r="F1050" s="2107"/>
      <c r="G1050" s="2107"/>
      <c r="H1050" s="2107"/>
      <c r="I1050" s="2107"/>
      <c r="J1050" s="2107"/>
      <c r="K1050" s="2107"/>
      <c r="L1050" s="2107"/>
      <c r="M1050" s="2107"/>
      <c r="N1050" s="2107"/>
      <c r="O1050" s="2107"/>
      <c r="P1050" s="2107"/>
      <c r="Q1050" s="2107"/>
    </row>
    <row r="1051" spans="1:17" ht="14.25">
      <c r="A1051" s="1745"/>
      <c r="B1051" s="2106" t="s">
        <v>1452</v>
      </c>
      <c r="C1051" s="2106"/>
      <c r="D1051" s="1745"/>
      <c r="E1051" s="1745"/>
      <c r="F1051" s="1745"/>
      <c r="G1051" s="1745"/>
      <c r="H1051" s="1745"/>
      <c r="I1051" s="1745"/>
      <c r="J1051" s="1745"/>
      <c r="K1051" s="1745"/>
      <c r="L1051" s="1745"/>
      <c r="M1051" s="1745"/>
      <c r="N1051" s="1745"/>
      <c r="O1051" s="1745"/>
      <c r="P1051" s="1745"/>
      <c r="Q1051" s="1745"/>
    </row>
    <row r="1052" spans="1:17" ht="14.25">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5">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5">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5">
      <c r="A1055" s="2104" t="s">
        <v>1522</v>
      </c>
      <c r="B1055" s="2104" t="s">
        <v>1529</v>
      </c>
      <c r="C1055" s="2104"/>
      <c r="D1055" s="2104"/>
      <c r="E1055" s="1746"/>
      <c r="F1055" s="1746"/>
      <c r="G1055" s="1746"/>
      <c r="H1055" s="1746"/>
      <c r="I1055" s="1746"/>
      <c r="J1055" s="1746"/>
      <c r="K1055" s="1746"/>
      <c r="L1055" s="1746"/>
      <c r="M1055" s="1746"/>
      <c r="N1055" s="1745"/>
      <c r="O1055" s="2105" t="s">
        <v>1450</v>
      </c>
      <c r="P1055" s="1750"/>
      <c r="Q1055" s="1750"/>
    </row>
    <row r="1056" spans="1:17" ht="15">
      <c r="A1056" s="1745"/>
      <c r="B1056" s="1745" t="s">
        <v>1454</v>
      </c>
      <c r="C1056" s="1745"/>
      <c r="D1056" s="1745"/>
      <c r="E1056" s="1745"/>
      <c r="F1056" s="1745"/>
      <c r="G1056" s="1745"/>
      <c r="H1056" s="1745"/>
      <c r="I1056" s="1745"/>
      <c r="J1056" s="1745"/>
      <c r="K1056" s="1745"/>
      <c r="L1056" s="1745"/>
      <c r="M1056" s="1745"/>
      <c r="N1056" s="1747"/>
      <c r="O1056" s="1745"/>
      <c r="P1056" s="1750" t="str">
        <f>'Part VII-Threshold Criteria'!P184</f>
        <v>No</v>
      </c>
      <c r="Q1056" s="1750"/>
    </row>
    <row r="1057" spans="1:17" ht="15" customHeight="1">
      <c r="A1057" s="1745"/>
      <c r="B1057" s="1745" t="s">
        <v>7576</v>
      </c>
      <c r="C1057" s="1745"/>
      <c r="D1057" s="1745"/>
      <c r="E1057" s="1745"/>
      <c r="F1057" s="1745"/>
      <c r="G1057" s="1745"/>
      <c r="H1057" s="1745"/>
      <c r="I1057" s="1745"/>
      <c r="J1057" s="1745"/>
      <c r="K1057" s="1745"/>
      <c r="L1057" s="1745"/>
      <c r="M1057" s="1745"/>
      <c r="N1057" s="1745"/>
      <c r="O1057" s="1745"/>
      <c r="P1057" s="1750" t="str">
        <f>'Part VII-Threshold Criteria'!P185</f>
        <v>Agree</v>
      </c>
      <c r="Q1057" s="1750"/>
    </row>
    <row r="1058" spans="1:17" ht="15">
      <c r="A1058" s="2105" t="s">
        <v>185</v>
      </c>
      <c r="B1058" s="1750" t="s">
        <v>1531</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7577</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1533</v>
      </c>
      <c r="E1060" s="2107"/>
      <c r="F1060" s="2107"/>
      <c r="G1060" s="2107"/>
      <c r="H1060" s="2107"/>
      <c r="I1060" s="2107"/>
      <c r="J1060" s="2107"/>
      <c r="K1060" s="2107"/>
      <c r="L1060" s="2107"/>
      <c r="M1060" s="2107"/>
      <c r="N1060" s="2107"/>
      <c r="O1060" s="2107"/>
      <c r="P1060" s="2130">
        <f>'Part VII-Threshold Criteria'!P188</f>
        <v>6</v>
      </c>
      <c r="Q1060" s="2099"/>
    </row>
    <row r="1061" spans="1:17" ht="15">
      <c r="A1061" s="1745"/>
      <c r="B1061" s="1745"/>
      <c r="C1061" s="1745"/>
      <c r="D1061" s="1745"/>
      <c r="E1061" s="1745"/>
      <c r="F1061" s="1745"/>
      <c r="G1061" s="1745"/>
      <c r="H1061" s="1745"/>
      <c r="I1061" s="1745"/>
      <c r="J1061" s="1745"/>
      <c r="K1061" s="1745"/>
      <c r="L1061" s="2131" t="s">
        <v>1534</v>
      </c>
      <c r="M1061" s="2131"/>
      <c r="N1061" s="1745"/>
      <c r="O1061" s="1745"/>
      <c r="P1061" s="1750"/>
      <c r="Q1061" s="1750"/>
    </row>
    <row r="1062" spans="1:17" ht="15">
      <c r="A1062" s="2105" t="s">
        <v>197</v>
      </c>
      <c r="B1062" s="2104" t="s">
        <v>1535</v>
      </c>
      <c r="C1062" s="1745"/>
      <c r="D1062" s="2132"/>
      <c r="E1062" s="2132"/>
      <c r="F1062" s="2132"/>
      <c r="G1062" s="2132"/>
      <c r="H1062" s="2132"/>
      <c r="I1062" s="2132"/>
      <c r="J1062" s="2132"/>
      <c r="K1062" s="2132"/>
      <c r="L1062" s="1745" t="s">
        <v>1536</v>
      </c>
      <c r="M1062" s="1745" t="s">
        <v>1537</v>
      </c>
      <c r="N1062" s="2132"/>
      <c r="O1062" s="2115"/>
      <c r="P1062" s="1745" t="s">
        <v>1538</v>
      </c>
      <c r="Q1062" s="1745"/>
    </row>
    <row r="1063" spans="1:17" ht="15">
      <c r="A1063" s="2105"/>
      <c r="B1063" s="1745" t="s">
        <v>1539</v>
      </c>
      <c r="C1063" s="1745"/>
      <c r="D1063" s="1745"/>
      <c r="E1063" s="1745"/>
      <c r="F1063" s="1745"/>
      <c r="G1063" s="1745"/>
      <c r="H1063" s="1745"/>
      <c r="I1063" s="1745"/>
      <c r="J1063" s="1745"/>
      <c r="K1063" s="2133"/>
      <c r="L1063" s="2134">
        <f>'Part VII-Threshold Criteria'!L191</f>
        <v>3</v>
      </c>
      <c r="M1063" s="2135">
        <f>'DCA Underwriting Assumptions'!$Q$148</f>
        <v>0.05</v>
      </c>
      <c r="N1063" s="2120" t="s">
        <v>1540</v>
      </c>
      <c r="O1063" s="2115"/>
      <c r="P1063" s="1750">
        <f>'Part VII-Threshold Criteria'!P191</f>
        <v>3</v>
      </c>
      <c r="Q1063" s="1750"/>
    </row>
    <row r="1064" spans="1:17" ht="15" customHeight="1">
      <c r="A1064" s="2105"/>
      <c r="B1064" s="1746"/>
      <c r="C1064" s="1745"/>
      <c r="D1064" s="1745" t="s">
        <v>1541</v>
      </c>
      <c r="E1064" s="1745"/>
      <c r="F1064" s="1745"/>
      <c r="G1064" s="1745"/>
      <c r="H1064" s="1745"/>
      <c r="I1064" s="1745"/>
      <c r="J1064" s="1745"/>
      <c r="K1064" s="2133"/>
      <c r="L1064" s="2134">
        <f>'Part VII-Threshold Criteria'!L192</f>
        <v>2</v>
      </c>
      <c r="M1064" s="2135">
        <f>'DCA Underwriting Assumptions'!$Q$149</f>
        <v>0.4</v>
      </c>
      <c r="N1064" s="2120" t="s">
        <v>1542</v>
      </c>
      <c r="O1064" s="2115"/>
      <c r="P1064" s="1750">
        <f>'Part VII-Threshold Criteria'!P192</f>
        <v>2</v>
      </c>
      <c r="Q1064" s="1750"/>
    </row>
    <row r="1065" spans="1:17" ht="15" customHeight="1">
      <c r="A1065" s="2105"/>
      <c r="B1065" s="1745" t="s">
        <v>1543</v>
      </c>
      <c r="C1065" s="1745"/>
      <c r="D1065" s="1745"/>
      <c r="E1065" s="1745"/>
      <c r="F1065" s="1745"/>
      <c r="G1065" s="1745"/>
      <c r="H1065" s="1745"/>
      <c r="I1065" s="1745"/>
      <c r="J1065" s="1745"/>
      <c r="K1065" s="1745"/>
      <c r="L1065" s="2134">
        <f>'Part VII-Threshold Criteria'!L193</f>
        <v>2</v>
      </c>
      <c r="M1065" s="2135">
        <f>'DCA Underwriting Assumptions'!$Q$150</f>
        <v>0.02</v>
      </c>
      <c r="N1065" s="2120" t="s">
        <v>1540</v>
      </c>
      <c r="O1065" s="2115"/>
      <c r="P1065" s="1750">
        <f>'Part VII-Threshold Criteria'!P193</f>
        <v>2</v>
      </c>
      <c r="Q1065" s="1750"/>
    </row>
    <row r="1066" spans="1:17" ht="15">
      <c r="A1066" s="2105" t="s">
        <v>218</v>
      </c>
      <c r="B1066" s="1750" t="s">
        <v>1544</v>
      </c>
      <c r="C1066" s="1745"/>
      <c r="D1066" s="1745"/>
      <c r="E1066" s="1745"/>
      <c r="F1066" s="1745"/>
      <c r="G1066" s="1745"/>
      <c r="H1066" s="1745"/>
      <c r="I1066" s="1745"/>
      <c r="J1066" s="1745"/>
      <c r="K1066" s="1745"/>
      <c r="L1066" s="2134"/>
      <c r="M1066" s="2135"/>
      <c r="N1066" s="2120"/>
      <c r="O1066" s="2115"/>
      <c r="P1066" s="1745"/>
      <c r="Q1066" s="1745"/>
    </row>
    <row r="1067" spans="1:17" ht="15">
      <c r="A1067" s="2105"/>
      <c r="B1067" s="1745" t="s">
        <v>1545</v>
      </c>
      <c r="C1067" s="1745"/>
      <c r="D1067" s="1745"/>
      <c r="E1067" s="1745"/>
      <c r="F1067" s="1745"/>
      <c r="G1067" s="1745"/>
      <c r="H1067" s="1745"/>
      <c r="I1067" s="1745"/>
      <c r="J1067" s="1745"/>
      <c r="K1067" s="1745"/>
      <c r="L1067" s="1745"/>
      <c r="M1067" s="2107" t="str">
        <f>'Part VII-Threshold Criteria'!M195</f>
        <v>Terracon Consultants, Inc.</v>
      </c>
      <c r="N1067" s="2093"/>
      <c r="O1067" s="2093"/>
      <c r="P1067" s="2093"/>
      <c r="Q1067" s="2093"/>
    </row>
    <row r="1068" spans="1:17" ht="15">
      <c r="A1068" s="2105"/>
      <c r="B1068" s="1745"/>
      <c r="C1068" s="1745"/>
      <c r="D1068" s="1745" t="s">
        <v>1546</v>
      </c>
      <c r="E1068" s="1745"/>
      <c r="F1068" s="1745"/>
      <c r="G1068" s="1745"/>
      <c r="H1068" s="1745"/>
      <c r="I1068" s="1745"/>
      <c r="J1068" s="1745"/>
      <c r="K1068" s="1745"/>
      <c r="L1068" s="1745"/>
      <c r="M1068" s="1745"/>
      <c r="N1068" s="1745"/>
      <c r="O1068" s="1745"/>
      <c r="P1068" s="1750" t="str">
        <f>'Part VII-Threshold Criteria'!P196</f>
        <v>No</v>
      </c>
      <c r="Q1068" s="1750"/>
    </row>
    <row r="1069" spans="1:17" ht="15">
      <c r="A1069" s="2105"/>
      <c r="B1069" s="1745"/>
      <c r="C1069" s="1745"/>
      <c r="D1069" s="1745" t="s">
        <v>1547</v>
      </c>
      <c r="E1069" s="1745"/>
      <c r="F1069" s="1745"/>
      <c r="G1069" s="1745"/>
      <c r="H1069" s="1745"/>
      <c r="I1069" s="1745"/>
      <c r="J1069" s="1745"/>
      <c r="K1069" s="1745"/>
      <c r="L1069" s="1745"/>
      <c r="M1069" s="1745"/>
      <c r="N1069" s="1745"/>
      <c r="O1069" s="2115"/>
      <c r="P1069" s="1750" t="str">
        <f>'Part VII-Threshold Criteria'!P197</f>
        <v>No</v>
      </c>
      <c r="Q1069" s="1748"/>
    </row>
    <row r="1070" spans="1:17" ht="15">
      <c r="A1070" s="1745"/>
      <c r="B1070" s="2110" t="s">
        <v>1456</v>
      </c>
      <c r="C1070" s="1745"/>
      <c r="D1070" s="2110"/>
      <c r="E1070" s="2110"/>
      <c r="F1070" s="2110"/>
      <c r="G1070" s="2110"/>
      <c r="H1070" s="1746"/>
      <c r="I1070" s="1747"/>
      <c r="J1070" s="1747"/>
      <c r="K1070" s="1747"/>
      <c r="L1070" s="1748"/>
      <c r="M1070" s="1748"/>
      <c r="N1070" s="1748"/>
      <c r="O1070" s="1748"/>
      <c r="P1070" s="1748"/>
      <c r="Q1070" s="1748"/>
    </row>
    <row r="1071" spans="1:17" ht="14.25">
      <c r="A1071" s="2107" t="str">
        <f>'Part VII-Threshold Criteria'!A199</f>
        <v>Applicant certifies that they will meet all the accessibility standards of the 2026-2027 QAP.</v>
      </c>
      <c r="B1071" s="2107"/>
      <c r="C1071" s="2107"/>
      <c r="D1071" s="2107"/>
      <c r="E1071" s="2107"/>
      <c r="F1071" s="2107"/>
      <c r="G1071" s="2107"/>
      <c r="H1071" s="2107"/>
      <c r="I1071" s="2107"/>
      <c r="J1071" s="2107"/>
      <c r="K1071" s="2107"/>
      <c r="L1071" s="2107"/>
      <c r="M1071" s="2107"/>
      <c r="N1071" s="2107"/>
      <c r="O1071" s="2107"/>
      <c r="P1071" s="2107"/>
      <c r="Q1071" s="2107"/>
    </row>
    <row r="1072" spans="1:17" ht="14.25">
      <c r="A1072" s="1745"/>
      <c r="B1072" s="2106" t="s">
        <v>1452</v>
      </c>
      <c r="C1072" s="2106"/>
      <c r="D1072" s="1745"/>
      <c r="E1072" s="1745"/>
      <c r="F1072" s="1745"/>
      <c r="G1072" s="1745"/>
      <c r="H1072" s="1745"/>
      <c r="I1072" s="1745"/>
      <c r="J1072" s="1745"/>
      <c r="K1072" s="1745"/>
      <c r="L1072" s="1745"/>
      <c r="M1072" s="1745"/>
      <c r="N1072" s="1745"/>
      <c r="O1072" s="1745"/>
      <c r="P1072" s="1745"/>
      <c r="Q1072" s="1745"/>
    </row>
    <row r="1073" spans="1:17" ht="14.25">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4.25">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4.25">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5">
      <c r="A1076" s="2104" t="s">
        <v>1528</v>
      </c>
      <c r="B1076" s="1750" t="s">
        <v>1549</v>
      </c>
      <c r="C1076" s="1750"/>
      <c r="D1076" s="1750"/>
      <c r="E1076" s="1750"/>
      <c r="F1076" s="1750"/>
      <c r="G1076" s="1750"/>
      <c r="H1076" s="1746"/>
      <c r="I1076" s="1746"/>
      <c r="J1076" s="1746"/>
      <c r="K1076" s="1746"/>
      <c r="L1076" s="1746"/>
      <c r="M1076" s="1746"/>
      <c r="N1076" s="1745"/>
      <c r="O1076" s="2105" t="s">
        <v>1450</v>
      </c>
      <c r="P1076" s="1750"/>
      <c r="Q1076" s="1750"/>
    </row>
    <row r="1077" spans="1:17" ht="15">
      <c r="A1077" s="1745"/>
      <c r="B1077" s="1745" t="s">
        <v>1454</v>
      </c>
      <c r="C1077" s="1745"/>
      <c r="D1077" s="1745"/>
      <c r="E1077" s="1745"/>
      <c r="F1077" s="1745"/>
      <c r="G1077" s="1745"/>
      <c r="H1077" s="1745"/>
      <c r="I1077" s="1745"/>
      <c r="J1077" s="1745"/>
      <c r="K1077" s="1745"/>
      <c r="L1077" s="1745"/>
      <c r="M1077" s="1745"/>
      <c r="N1077" s="1745"/>
      <c r="O1077" s="1745"/>
      <c r="P1077" s="1750" t="str">
        <f>'Part VII-Threshold Criteria'!P205</f>
        <v>No</v>
      </c>
      <c r="Q1077" s="1750"/>
    </row>
    <row r="1078" spans="1:17" ht="15" customHeight="1">
      <c r="A1078" s="1745"/>
      <c r="B1078" s="1745" t="s">
        <v>7578</v>
      </c>
      <c r="C1078" s="1745"/>
      <c r="D1078" s="1745"/>
      <c r="E1078" s="1745"/>
      <c r="F1078" s="1745"/>
      <c r="G1078" s="1745"/>
      <c r="H1078" s="1745"/>
      <c r="I1078" s="1745"/>
      <c r="J1078" s="1745"/>
      <c r="K1078" s="1745"/>
      <c r="L1078" s="1745"/>
      <c r="M1078" s="1745"/>
      <c r="N1078" s="1745"/>
      <c r="O1078" s="1745"/>
      <c r="P1078" s="1750" t="str">
        <f>'Part VII-Threshold Criteria'!P206</f>
        <v>Yes</v>
      </c>
      <c r="Q1078" s="1750"/>
    </row>
    <row r="1079" spans="1:17" ht="15">
      <c r="A1079" s="2105" t="s">
        <v>185</v>
      </c>
      <c r="B1079" s="1750" t="s">
        <v>1551</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1510</v>
      </c>
      <c r="C1080" s="2107" t="s">
        <v>1552</v>
      </c>
      <c r="D1080" s="2107"/>
      <c r="E1080" s="2107"/>
      <c r="F1080" s="2107" t="str">
        <f>'Part VII-Threshold Criteria'!F208</f>
        <v>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v>
      </c>
      <c r="G1080" s="2107"/>
      <c r="H1080" s="2107"/>
      <c r="I1080" s="2107"/>
      <c r="J1080" s="2107"/>
      <c r="K1080" s="2107"/>
      <c r="L1080" s="2107"/>
      <c r="M1080" s="2107"/>
      <c r="N1080" s="2107"/>
      <c r="O1080" s="2107"/>
      <c r="P1080" s="2107"/>
      <c r="Q1080" s="2107"/>
    </row>
    <row r="1081" spans="1:17" ht="14.25" customHeight="1">
      <c r="A1081" s="1745"/>
      <c r="B1081" s="2119" t="s">
        <v>1513</v>
      </c>
      <c r="C1081" s="2107" t="s">
        <v>1554</v>
      </c>
      <c r="D1081" s="2107"/>
      <c r="E1081" s="2107"/>
      <c r="F1081" s="2107" t="str">
        <f>'Part VII-Threshold Criteria'!F209</f>
        <v xml:space="preserve">Fiber cement siding or other thirty year warranty product installed on all exterior wall surfaces not already required to be brick </v>
      </c>
      <c r="G1081" s="2107"/>
      <c r="H1081" s="2107"/>
      <c r="I1081" s="2107"/>
      <c r="J1081" s="2107"/>
      <c r="K1081" s="2107"/>
      <c r="L1081" s="2107"/>
      <c r="M1081" s="2107"/>
      <c r="N1081" s="2107"/>
      <c r="O1081" s="2107"/>
      <c r="P1081" s="2107"/>
      <c r="Q1081" s="2107"/>
    </row>
    <row r="1082" spans="1:17" ht="15" customHeight="1">
      <c r="A1082" s="2105"/>
      <c r="B1082" s="2119" t="s">
        <v>1514</v>
      </c>
      <c r="C1082" s="1745" t="s">
        <v>1556</v>
      </c>
      <c r="D1082" s="1745"/>
      <c r="E1082" s="1745"/>
      <c r="F1082" s="1745"/>
      <c r="G1082" s="1745"/>
      <c r="H1082" s="1745"/>
      <c r="I1082" s="1745"/>
      <c r="J1082" s="1745"/>
      <c r="K1082" s="1745"/>
      <c r="L1082" s="1745"/>
      <c r="M1082" s="1745"/>
      <c r="N1082" s="1745"/>
      <c r="O1082" s="1745"/>
      <c r="P1082" s="1745"/>
      <c r="Q1082" s="1745"/>
    </row>
    <row r="1083" spans="1:17" ht="15">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5">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5">
      <c r="A1085" s="1745"/>
      <c r="B1085" s="2110" t="s">
        <v>1456</v>
      </c>
      <c r="C1085" s="1745"/>
      <c r="D1085" s="2106"/>
      <c r="E1085" s="2106"/>
      <c r="F1085" s="2106"/>
      <c r="G1085" s="2106"/>
      <c r="H1085" s="1745"/>
      <c r="I1085" s="1745"/>
      <c r="J1085" s="1745"/>
      <c r="K1085" s="1745"/>
      <c r="L1085" s="1750"/>
      <c r="M1085" s="1750"/>
      <c r="N1085" s="1750"/>
      <c r="O1085" s="1750"/>
      <c r="P1085" s="1750"/>
      <c r="Q1085" s="1750"/>
    </row>
    <row r="1086" spans="1:17" ht="14.25">
      <c r="A1086" s="2107" t="str">
        <f>'Part VII-Threshold Criteria'!A214</f>
        <v>Applicant will meet the standards of the 2026-2027 QAP, XVIII Architectural design.</v>
      </c>
      <c r="B1086" s="2107"/>
      <c r="C1086" s="2107"/>
      <c r="D1086" s="2107"/>
      <c r="E1086" s="2107"/>
      <c r="F1086" s="2107"/>
      <c r="G1086" s="2107"/>
      <c r="H1086" s="2107"/>
      <c r="I1086" s="2107"/>
      <c r="J1086" s="2107"/>
      <c r="K1086" s="2107"/>
      <c r="L1086" s="2107"/>
      <c r="M1086" s="2107"/>
      <c r="N1086" s="2107"/>
      <c r="O1086" s="2107"/>
      <c r="P1086" s="2107"/>
      <c r="Q1086" s="2107"/>
    </row>
    <row r="1087" spans="1:17" ht="14.25">
      <c r="A1087" s="1745"/>
      <c r="B1087" s="2106" t="s">
        <v>1452</v>
      </c>
      <c r="C1087" s="2106"/>
      <c r="D1087" s="1745"/>
      <c r="E1087" s="1745"/>
      <c r="F1087" s="1745"/>
      <c r="G1087" s="1745"/>
      <c r="H1087" s="1745"/>
      <c r="I1087" s="1745"/>
      <c r="J1087" s="1745"/>
      <c r="K1087" s="1745"/>
      <c r="L1087" s="1745"/>
      <c r="M1087" s="1745"/>
      <c r="N1087" s="1745"/>
      <c r="O1087" s="1745"/>
      <c r="P1087" s="1745"/>
      <c r="Q1087" s="1745"/>
    </row>
    <row r="1088" spans="1:17" ht="14.25">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4.25">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4.25">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5">
      <c r="A1091" s="2104" t="s">
        <v>1548</v>
      </c>
      <c r="B1091" s="2104" t="s">
        <v>1558</v>
      </c>
      <c r="C1091" s="2104"/>
      <c r="D1091" s="1746"/>
      <c r="E1091" s="1746"/>
      <c r="F1091" s="1746"/>
      <c r="G1091" s="1746"/>
      <c r="H1091" s="1746"/>
      <c r="I1091" s="1745"/>
      <c r="J1091" s="1745"/>
      <c r="K1091" s="1745"/>
      <c r="L1091" s="1745"/>
      <c r="M1091" s="1745"/>
      <c r="N1091" s="1745"/>
      <c r="O1091" s="2105" t="s">
        <v>1450</v>
      </c>
      <c r="P1091" s="1750"/>
      <c r="Q1091" s="1750"/>
    </row>
    <row r="1092" spans="1:17" ht="15">
      <c r="A1092" s="2105"/>
      <c r="B1092" s="1745" t="s">
        <v>7579</v>
      </c>
      <c r="C1092" s="1745"/>
      <c r="D1092" s="1745"/>
      <c r="E1092" s="1745"/>
      <c r="F1092" s="1745"/>
      <c r="G1092" s="1745"/>
      <c r="H1092" s="1745"/>
      <c r="I1092" s="1745"/>
      <c r="J1092" s="1745"/>
      <c r="K1092" s="1745"/>
      <c r="L1092" s="1745"/>
      <c r="M1092" s="1745"/>
      <c r="N1092" s="1745"/>
      <c r="O1092" s="2115"/>
      <c r="P1092" s="1750" t="str">
        <f>'Part VII-Threshold Criteria'!P220</f>
        <v>Yes - see Comment</v>
      </c>
      <c r="Q1092" s="1750"/>
    </row>
    <row r="1093" spans="1:17" ht="15">
      <c r="A1093" s="2105"/>
      <c r="B1093" s="1745" t="s">
        <v>7580</v>
      </c>
      <c r="C1093" s="1745"/>
      <c r="D1093" s="1745"/>
      <c r="E1093" s="1745"/>
      <c r="F1093" s="1745"/>
      <c r="G1093" s="1745"/>
      <c r="H1093" s="1745"/>
      <c r="I1093" s="1745"/>
      <c r="J1093" s="1745"/>
      <c r="K1093" s="1745"/>
      <c r="L1093" s="1745"/>
      <c r="M1093" s="1745"/>
      <c r="N1093" s="1745"/>
      <c r="O1093" s="2115"/>
      <c r="P1093" s="1750" t="str">
        <f>'Part VII-Threshold Criteria'!P221</f>
        <v>Yes - see Comment</v>
      </c>
      <c r="Q1093" s="1750"/>
    </row>
    <row r="1094" spans="1:17" ht="15">
      <c r="A1094" s="2105"/>
      <c r="B1094" s="1745" t="s">
        <v>7581</v>
      </c>
      <c r="C1094" s="1745"/>
      <c r="D1094" s="1745"/>
      <c r="E1094" s="1745"/>
      <c r="F1094" s="1745"/>
      <c r="G1094" s="1745"/>
      <c r="H1094" s="1745"/>
      <c r="I1094" s="1745"/>
      <c r="J1094" s="1745"/>
      <c r="K1094" s="1747"/>
      <c r="L1094" s="1745"/>
      <c r="M1094" s="2115"/>
      <c r="N1094" s="1745"/>
      <c r="O1094" s="1745"/>
      <c r="P1094" s="1750" t="str">
        <f>'Part VII-Threshold Criteria'!P222</f>
        <v>No</v>
      </c>
      <c r="Q1094" s="1750"/>
    </row>
    <row r="1095" spans="1:17" ht="15" customHeight="1">
      <c r="A1095" s="2105"/>
      <c r="B1095" s="1745" t="s">
        <v>7582</v>
      </c>
      <c r="C1095" s="1745"/>
      <c r="D1095" s="1745"/>
      <c r="E1095" s="1745"/>
      <c r="F1095" s="1745"/>
      <c r="G1095" s="1745"/>
      <c r="H1095" s="1745"/>
      <c r="I1095" s="1745"/>
      <c r="J1095" s="1745"/>
      <c r="K1095" s="1745"/>
      <c r="L1095" s="1745"/>
      <c r="M1095" s="1745"/>
      <c r="N1095" s="1745"/>
      <c r="O1095" s="1745"/>
      <c r="P1095" s="1750" t="str">
        <f>'Part VII-Threshold Criteria'!P223</f>
        <v>No</v>
      </c>
      <c r="Q1095" s="2114"/>
    </row>
    <row r="1096" spans="1:17" ht="15">
      <c r="A1096" s="2105"/>
      <c r="B1096" s="1745" t="s">
        <v>7583</v>
      </c>
      <c r="C1096" s="1745"/>
      <c r="D1096" s="1745"/>
      <c r="E1096" s="1745"/>
      <c r="F1096" s="1745"/>
      <c r="G1096" s="1745"/>
      <c r="H1096" s="1745"/>
      <c r="I1096" s="1745"/>
      <c r="J1096" s="1745"/>
      <c r="K1096" s="1745"/>
      <c r="L1096" s="1745"/>
      <c r="M1096" s="1745"/>
      <c r="N1096" s="1745"/>
      <c r="O1096" s="1750" t="str">
        <f>'Part VII-Threshold Criteria'!O224</f>
        <v>Qualified as Probationary</v>
      </c>
      <c r="P1096" s="1750"/>
      <c r="Q1096" s="1750"/>
    </row>
    <row r="1097" spans="1:17" ht="15">
      <c r="A1097" s="2105"/>
      <c r="B1097" s="1750" t="s">
        <v>1564</v>
      </c>
      <c r="C1097" s="1745"/>
      <c r="D1097" s="1745"/>
      <c r="E1097" s="1745"/>
      <c r="F1097" s="1745"/>
      <c r="G1097" s="1745"/>
      <c r="H1097" s="1745"/>
      <c r="I1097" s="1750" t="s">
        <v>720</v>
      </c>
      <c r="J1097" s="1750"/>
      <c r="K1097" s="1750"/>
      <c r="L1097" s="1750"/>
      <c r="M1097" s="1745"/>
      <c r="N1097" s="1745"/>
      <c r="O1097" s="1745"/>
      <c r="P1097" s="1745"/>
      <c r="Q1097" s="1745"/>
    </row>
    <row r="1098" spans="1:17" ht="15">
      <c r="A1098" s="1745"/>
      <c r="B1098" s="2110" t="s">
        <v>1456</v>
      </c>
      <c r="C1098" s="1745"/>
      <c r="D1098" s="2110"/>
      <c r="E1098" s="2110"/>
      <c r="F1098" s="2110"/>
      <c r="G1098" s="2110"/>
      <c r="H1098" s="1746"/>
      <c r="I1098" s="1745"/>
      <c r="J1098" s="1745"/>
      <c r="K1098" s="1745"/>
      <c r="L1098" s="1750"/>
      <c r="M1098" s="1748"/>
      <c r="N1098" s="1748"/>
      <c r="O1098" s="1748"/>
      <c r="P1098" s="1748"/>
      <c r="Q1098" s="1748"/>
    </row>
    <row r="1099" spans="1:17" ht="14.25">
      <c r="A1099" s="2107" t="str">
        <f>'Part VII-Threshold Criteria'!A227</f>
        <v>Please see Tab 5 for the qualification determination.</v>
      </c>
      <c r="B1099" s="2107"/>
      <c r="C1099" s="2107"/>
      <c r="D1099" s="2107"/>
      <c r="E1099" s="2107"/>
      <c r="F1099" s="2107"/>
      <c r="G1099" s="2107"/>
      <c r="H1099" s="2107"/>
      <c r="I1099" s="2107"/>
      <c r="J1099" s="2107"/>
      <c r="K1099" s="2107"/>
      <c r="L1099" s="2107"/>
      <c r="M1099" s="2107"/>
      <c r="N1099" s="2107"/>
      <c r="O1099" s="2107"/>
      <c r="P1099" s="2107"/>
      <c r="Q1099" s="2107"/>
    </row>
    <row r="1100" spans="1:17" ht="14.25">
      <c r="A1100" s="1745"/>
      <c r="B1100" s="2106" t="s">
        <v>1452</v>
      </c>
      <c r="C1100" s="2106"/>
      <c r="D1100" s="1745"/>
      <c r="E1100" s="1745"/>
      <c r="F1100" s="1745"/>
      <c r="G1100" s="1745"/>
      <c r="H1100" s="1745"/>
      <c r="I1100" s="1745"/>
      <c r="J1100" s="1745"/>
      <c r="K1100" s="1745"/>
      <c r="L1100" s="1745"/>
      <c r="M1100" s="1745"/>
      <c r="N1100" s="1745"/>
      <c r="O1100" s="1745"/>
      <c r="P1100" s="1745"/>
      <c r="Q1100" s="1745"/>
    </row>
    <row r="1101" spans="1:17" ht="14.25">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5">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5">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5">
      <c r="A1104" s="2104" t="s">
        <v>1557</v>
      </c>
      <c r="B1104" s="1750" t="s">
        <v>1566</v>
      </c>
      <c r="C1104" s="1750"/>
      <c r="D1104" s="1750"/>
      <c r="E1104" s="1750"/>
      <c r="F1104" s="1750"/>
      <c r="G1104" s="1750"/>
      <c r="H1104" s="1746"/>
      <c r="I1104" s="1746"/>
      <c r="J1104" s="1746"/>
      <c r="K1104" s="1746"/>
      <c r="L1104" s="1746"/>
      <c r="M1104" s="1746"/>
      <c r="N1104" s="2115"/>
      <c r="O1104" s="2105" t="s">
        <v>1450</v>
      </c>
      <c r="P1104" s="1750"/>
      <c r="Q1104" s="1750"/>
    </row>
    <row r="1105" spans="1:17" ht="15" customHeight="1">
      <c r="A1105" s="2104"/>
      <c r="B1105" s="1745" t="s">
        <v>1567</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5">
      <c r="A1106" s="1827" t="s">
        <v>185</v>
      </c>
      <c r="B1106" s="2114" t="s">
        <v>1568</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1569</v>
      </c>
      <c r="D1107" s="2116"/>
      <c r="E1107" s="2116"/>
      <c r="F1107" s="1746"/>
      <c r="G1107" s="2107" t="s">
        <v>1570</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1571</v>
      </c>
      <c r="D1108" s="2107"/>
      <c r="E1108" s="2107"/>
      <c r="F1108" s="2107"/>
      <c r="G1108" s="2107" t="s">
        <v>1572</v>
      </c>
      <c r="H1108" s="2107"/>
      <c r="I1108" s="2107"/>
      <c r="J1108" s="2107"/>
      <c r="K1108" s="2107"/>
      <c r="L1108" s="2107"/>
      <c r="M1108" s="2107"/>
      <c r="N1108" s="2107"/>
      <c r="O1108" s="2107"/>
      <c r="P1108" s="1750">
        <f>'Part VII-Threshold Criteria'!P236</f>
        <v>0</v>
      </c>
      <c r="Q1108" s="1748"/>
    </row>
    <row r="1109" spans="1:17" ht="15" customHeight="1">
      <c r="A1109" s="1827" t="s">
        <v>197</v>
      </c>
      <c r="B1109" s="2107" t="s">
        <v>7584</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5">
      <c r="A1110" s="2105" t="s">
        <v>218</v>
      </c>
      <c r="B1110" s="1745" t="s">
        <v>7585</v>
      </c>
      <c r="C1110" s="1745"/>
      <c r="D1110" s="1745"/>
      <c r="E1110" s="1745"/>
      <c r="F1110" s="1745"/>
      <c r="G1110" s="1745" t="s">
        <v>7586</v>
      </c>
      <c r="H1110" s="1745"/>
      <c r="I1110" s="1745"/>
      <c r="J1110" s="1745"/>
      <c r="K1110" s="1745"/>
      <c r="L1110" s="1745"/>
      <c r="M1110" s="1745"/>
      <c r="N1110" s="1745"/>
      <c r="O1110" s="1745"/>
      <c r="P1110" s="1750">
        <f>'Part VII-Threshold Criteria'!P238</f>
        <v>0</v>
      </c>
      <c r="Q1110" s="1748"/>
    </row>
    <row r="1111" spans="1:17" ht="15" customHeight="1">
      <c r="A1111" s="1827" t="s">
        <v>220</v>
      </c>
      <c r="B1111" s="2107" t="s">
        <v>7587</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5">
      <c r="A1112" s="1745"/>
      <c r="B1112" s="2106" t="s">
        <v>1456</v>
      </c>
      <c r="C1112" s="1745"/>
      <c r="D1112" s="2106"/>
      <c r="E1112" s="2106"/>
      <c r="F1112" s="2106"/>
      <c r="G1112" s="2106"/>
      <c r="H1112" s="1745"/>
      <c r="I1112" s="1745"/>
      <c r="J1112" s="1745"/>
      <c r="K1112" s="1745"/>
      <c r="L1112" s="1750"/>
      <c r="M1112" s="1750"/>
      <c r="N1112" s="1750"/>
      <c r="O1112" s="1750"/>
      <c r="P1112" s="1748"/>
      <c r="Q1112" s="1748"/>
    </row>
    <row r="1113" spans="1:17" ht="14.25">
      <c r="A1113" s="2107" t="str">
        <f>'Part VII-Threshold Criteria'!A241</f>
        <v>NA</v>
      </c>
      <c r="B1113" s="2107"/>
      <c r="C1113" s="2107"/>
      <c r="D1113" s="2107"/>
      <c r="E1113" s="2107"/>
      <c r="F1113" s="2107"/>
      <c r="G1113" s="2107"/>
      <c r="H1113" s="2107"/>
      <c r="I1113" s="2107"/>
      <c r="J1113" s="2107"/>
      <c r="K1113" s="2107"/>
      <c r="L1113" s="2107"/>
      <c r="M1113" s="2107"/>
      <c r="N1113" s="2107"/>
      <c r="O1113" s="2107"/>
      <c r="P1113" s="2107"/>
      <c r="Q1113" s="2107"/>
    </row>
    <row r="1114" spans="1:17" ht="14.25">
      <c r="A1114" s="1745"/>
      <c r="B1114" s="2106" t="s">
        <v>1452</v>
      </c>
      <c r="C1114" s="2106"/>
      <c r="D1114" s="1745"/>
      <c r="E1114" s="1745"/>
      <c r="F1114" s="1745"/>
      <c r="G1114" s="1745"/>
      <c r="H1114" s="1745"/>
      <c r="I1114" s="1745"/>
      <c r="J1114" s="1745"/>
      <c r="K1114" s="1745"/>
      <c r="L1114" s="1745"/>
      <c r="M1114" s="1745"/>
      <c r="N1114" s="1745"/>
      <c r="O1114" s="1745"/>
      <c r="P1114" s="1745"/>
      <c r="Q1114" s="1745"/>
    </row>
    <row r="1115" spans="1:17" ht="14.25">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5">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5">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5">
      <c r="A1118" s="2104" t="s">
        <v>1565</v>
      </c>
      <c r="B1118" s="1750" t="s">
        <v>1578</v>
      </c>
      <c r="C1118" s="1750"/>
      <c r="D1118" s="1750"/>
      <c r="E1118" s="1750"/>
      <c r="F1118" s="1750"/>
      <c r="G1118" s="1750"/>
      <c r="H1118" s="1746"/>
      <c r="I1118" s="1746"/>
      <c r="J1118" s="1746"/>
      <c r="K1118" s="1746"/>
      <c r="L1118" s="1746"/>
      <c r="M1118" s="1746"/>
      <c r="N1118" s="2105"/>
      <c r="O1118" s="2105" t="s">
        <v>1450</v>
      </c>
      <c r="P1118" s="1750"/>
      <c r="Q1118" s="1750"/>
    </row>
    <row r="1119" spans="1:17" ht="15">
      <c r="A1119" s="2105"/>
      <c r="B1119" s="1745" t="s">
        <v>1579</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5">
      <c r="A1120" s="2105"/>
      <c r="B1120" s="1745" t="s">
        <v>1580</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7588</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5">
      <c r="A1122" s="1745"/>
      <c r="B1122" s="2106" t="s">
        <v>1456</v>
      </c>
      <c r="C1122" s="1745"/>
      <c r="D1122" s="2106"/>
      <c r="E1122" s="2106"/>
      <c r="F1122" s="2106"/>
      <c r="G1122" s="2106"/>
      <c r="H1122" s="1745"/>
      <c r="I1122" s="1745"/>
      <c r="J1122" s="1745"/>
      <c r="K1122" s="1745"/>
      <c r="L1122" s="1750"/>
      <c r="M1122" s="1750"/>
      <c r="N1122" s="1750"/>
      <c r="O1122" s="1750"/>
      <c r="P1122" s="1750"/>
      <c r="Q1122" s="1750"/>
    </row>
    <row r="1123" spans="1:17" ht="14.25">
      <c r="A1123" s="2107" t="str">
        <f>'Part VII-Threshold Criteria'!A251</f>
        <v>NA</v>
      </c>
      <c r="B1123" s="2107"/>
      <c r="C1123" s="2107"/>
      <c r="D1123" s="2107"/>
      <c r="E1123" s="2107"/>
      <c r="F1123" s="2107"/>
      <c r="G1123" s="2107"/>
      <c r="H1123" s="2107"/>
      <c r="I1123" s="2107"/>
      <c r="J1123" s="2107"/>
      <c r="K1123" s="2107"/>
      <c r="L1123" s="2107"/>
      <c r="M1123" s="2107"/>
      <c r="N1123" s="2107"/>
      <c r="O1123" s="2107"/>
      <c r="P1123" s="2107"/>
      <c r="Q1123" s="2107"/>
    </row>
    <row r="1124" spans="1:17" ht="14.25">
      <c r="A1124" s="1745"/>
      <c r="B1124" s="2106" t="s">
        <v>1452</v>
      </c>
      <c r="C1124" s="2106"/>
      <c r="D1124" s="1745"/>
      <c r="E1124" s="1745"/>
      <c r="F1124" s="1745"/>
      <c r="G1124" s="1745"/>
      <c r="H1124" s="1745"/>
      <c r="I1124" s="1745"/>
      <c r="J1124" s="1745"/>
      <c r="K1124" s="1745"/>
      <c r="L1124" s="1745"/>
      <c r="M1124" s="1745"/>
      <c r="N1124" s="1745"/>
      <c r="O1124" s="1745"/>
      <c r="P1124" s="1745"/>
      <c r="Q1124" s="1745"/>
    </row>
    <row r="1125" spans="1:17" ht="14.25">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5">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5">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5">
      <c r="A1128" s="2104" t="s">
        <v>1577</v>
      </c>
      <c r="B1128" s="1750" t="s">
        <v>1583</v>
      </c>
      <c r="C1128" s="1750"/>
      <c r="D1128" s="1750"/>
      <c r="E1128" s="1746"/>
      <c r="F1128" s="1745"/>
      <c r="G1128" s="1745" t="s">
        <v>1584</v>
      </c>
      <c r="H1128" s="1746"/>
      <c r="I1128" s="1746"/>
      <c r="J1128" s="1746"/>
      <c r="K1128" s="1746"/>
      <c r="L1128" s="1746"/>
      <c r="M1128" s="1746"/>
      <c r="N1128" s="1745"/>
      <c r="O1128" s="2105" t="s">
        <v>1450</v>
      </c>
      <c r="P1128" s="1750"/>
      <c r="Q1128" s="1750"/>
    </row>
    <row r="1129" spans="1:17" ht="15">
      <c r="A1129" s="2105"/>
      <c r="B1129" s="1745" t="s">
        <v>1585</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5">
      <c r="A1130" s="2105"/>
      <c r="B1130" s="1745" t="s">
        <v>1586</v>
      </c>
      <c r="C1130" s="1745"/>
      <c r="D1130" s="1745"/>
      <c r="E1130" s="1745"/>
      <c r="F1130" s="1745"/>
      <c r="G1130" s="1745"/>
      <c r="H1130" s="1745"/>
      <c r="I1130" s="1745"/>
      <c r="J1130" s="1745"/>
      <c r="K1130" s="1745"/>
      <c r="L1130" s="1745"/>
      <c r="M1130" s="1745"/>
      <c r="N1130" s="1745"/>
      <c r="O1130" s="2115"/>
      <c r="P1130" s="1750">
        <f>'Part VII-Threshold Criteria'!P258</f>
        <v>0</v>
      </c>
      <c r="Q1130" s="1750"/>
    </row>
    <row r="1131" spans="1:17" ht="15">
      <c r="A1131" s="2105"/>
      <c r="B1131" s="1745" t="s">
        <v>435</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5">
      <c r="A1132" s="1745"/>
      <c r="B1132" s="2110" t="s">
        <v>1456</v>
      </c>
      <c r="C1132" s="1745"/>
      <c r="D1132" s="2106"/>
      <c r="E1132" s="2106"/>
      <c r="F1132" s="2106"/>
      <c r="G1132" s="2106"/>
      <c r="H1132" s="1745"/>
      <c r="I1132" s="1745"/>
      <c r="J1132" s="1745"/>
      <c r="K1132" s="1745"/>
      <c r="L1132" s="1750"/>
      <c r="M1132" s="1750"/>
      <c r="N1132" s="1750"/>
      <c r="O1132" s="1750"/>
      <c r="P1132" s="1750"/>
      <c r="Q1132" s="1750"/>
    </row>
    <row r="1133" spans="1:17" ht="14.25">
      <c r="A1133" s="2107" t="str">
        <f>'Part VII-Threshold Criteria'!A261</f>
        <v>NA</v>
      </c>
      <c r="B1133" s="2107"/>
      <c r="C1133" s="2107"/>
      <c r="D1133" s="2107"/>
      <c r="E1133" s="2107"/>
      <c r="F1133" s="2107"/>
      <c r="G1133" s="2107"/>
      <c r="H1133" s="2107"/>
      <c r="I1133" s="2107"/>
      <c r="J1133" s="2107"/>
      <c r="K1133" s="2107"/>
      <c r="L1133" s="2107"/>
      <c r="M1133" s="2107"/>
      <c r="N1133" s="2107"/>
      <c r="O1133" s="2107"/>
      <c r="P1133" s="2107"/>
      <c r="Q1133" s="2107"/>
    </row>
    <row r="1134" spans="1:17" ht="14.25">
      <c r="A1134" s="1745"/>
      <c r="B1134" s="2106" t="s">
        <v>1452</v>
      </c>
      <c r="C1134" s="2106"/>
      <c r="D1134" s="1745"/>
      <c r="E1134" s="1745"/>
      <c r="F1134" s="1745"/>
      <c r="G1134" s="1745"/>
      <c r="H1134" s="1745"/>
      <c r="I1134" s="1745"/>
      <c r="J1134" s="1745"/>
      <c r="K1134" s="1745"/>
      <c r="L1134" s="1745"/>
      <c r="M1134" s="1745"/>
      <c r="N1134" s="1745"/>
      <c r="O1134" s="1745"/>
      <c r="P1134" s="1745"/>
      <c r="Q1134" s="1745"/>
    </row>
    <row r="1135" spans="1:17" ht="14.25">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5">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5">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5">
      <c r="A1138" s="2104" t="s">
        <v>1582</v>
      </c>
      <c r="B1138" s="1750" t="s">
        <v>1588</v>
      </c>
      <c r="C1138" s="1750"/>
      <c r="D1138" s="1750"/>
      <c r="E1138" s="1750"/>
      <c r="F1138" s="1750"/>
      <c r="G1138" s="1750"/>
      <c r="H1138" s="1746"/>
      <c r="I1138" s="1746"/>
      <c r="J1138" s="1746"/>
      <c r="K1138" s="1746"/>
      <c r="L1138" s="1746"/>
      <c r="M1138" s="1746"/>
      <c r="N1138" s="1745"/>
      <c r="O1138" s="2105" t="s">
        <v>1450</v>
      </c>
      <c r="P1138" s="1750"/>
      <c r="Q1138" s="1750"/>
    </row>
    <row r="1139" spans="1:17" ht="15">
      <c r="A1139" s="1745"/>
      <c r="B1139" s="1745" t="s">
        <v>1589</v>
      </c>
      <c r="C1139" s="1745"/>
      <c r="D1139" s="1745"/>
      <c r="E1139" s="1745"/>
      <c r="F1139" s="1745"/>
      <c r="G1139" s="1745"/>
      <c r="H1139" s="1745"/>
      <c r="I1139" s="1745"/>
      <c r="J1139" s="1745"/>
      <c r="K1139" s="1745"/>
      <c r="L1139" s="1745"/>
      <c r="M1139" s="1745"/>
      <c r="N1139" s="1745"/>
      <c r="O1139" s="2115"/>
      <c r="P1139" s="1750">
        <f>'Part VII-Threshold Criteria'!P267</f>
        <v>0</v>
      </c>
      <c r="Q1139" s="1750"/>
    </row>
    <row r="1140" spans="1:17" ht="15">
      <c r="A1140" s="2105"/>
      <c r="B1140" s="1745" t="s">
        <v>1590</v>
      </c>
      <c r="C1140" s="1745"/>
      <c r="D1140" s="1745"/>
      <c r="E1140" s="1745"/>
      <c r="F1140" s="1745"/>
      <c r="G1140" s="1745"/>
      <c r="H1140" s="1745"/>
      <c r="I1140" s="1745"/>
      <c r="J1140" s="1745"/>
      <c r="K1140" s="1745"/>
      <c r="L1140" s="1745"/>
      <c r="M1140" s="1745"/>
      <c r="N1140" s="1745"/>
      <c r="O1140" s="1745"/>
      <c r="P1140" s="1750">
        <f>'Part VII-Threshold Criteria'!P268</f>
        <v>0</v>
      </c>
      <c r="Q1140" s="1750"/>
    </row>
    <row r="1141" spans="1:17" ht="15">
      <c r="A1141" s="1745"/>
      <c r="B1141" s="1745" t="s">
        <v>1591</v>
      </c>
      <c r="C1141" s="1745"/>
      <c r="D1141" s="1745"/>
      <c r="E1141" s="1745"/>
      <c r="F1141" s="1745"/>
      <c r="G1141" s="1745"/>
      <c r="H1141" s="1745"/>
      <c r="I1141" s="1745"/>
      <c r="J1141" s="1745"/>
      <c r="K1141" s="1745"/>
      <c r="L1141" s="1745"/>
      <c r="M1141" s="1745"/>
      <c r="N1141" s="1745"/>
      <c r="O1141" s="1745"/>
      <c r="P1141" s="1750">
        <f>'Part VII-Threshold Criteria'!P269</f>
        <v>0</v>
      </c>
      <c r="Q1141" s="1750"/>
    </row>
    <row r="1142" spans="1:17" ht="15" customHeight="1">
      <c r="A1142" s="2105"/>
      <c r="B1142" s="1745" t="s">
        <v>7589</v>
      </c>
      <c r="C1142" s="1745"/>
      <c r="D1142" s="1745"/>
      <c r="E1142" s="1745"/>
      <c r="F1142" s="1745"/>
      <c r="G1142" s="1745"/>
      <c r="H1142" s="1745"/>
      <c r="I1142" s="1745"/>
      <c r="J1142" s="1745"/>
      <c r="K1142" s="1745"/>
      <c r="L1142" s="1745"/>
      <c r="M1142" s="1745"/>
      <c r="N1142" s="1745"/>
      <c r="O1142" s="1745"/>
      <c r="P1142" s="1750">
        <f>'Part VII-Threshold Criteria'!P270</f>
        <v>0</v>
      </c>
      <c r="Q1142" s="1750"/>
    </row>
    <row r="1143" spans="1:17" ht="14.25">
      <c r="A1143" s="1745"/>
      <c r="B1143" s="2106" t="s">
        <v>1456</v>
      </c>
      <c r="C1143" s="1745"/>
      <c r="D1143" s="2106"/>
      <c r="E1143" s="2106"/>
      <c r="F1143" s="2106"/>
      <c r="G1143" s="2106"/>
      <c r="H1143" s="1745"/>
      <c r="I1143" s="1745"/>
      <c r="J1143" s="1745"/>
      <c r="K1143" s="1745"/>
      <c r="L1143" s="1745"/>
      <c r="M1143" s="1745"/>
      <c r="N1143" s="1745"/>
      <c r="O1143" s="1745"/>
      <c r="P1143" s="1745"/>
      <c r="Q1143" s="1745"/>
    </row>
    <row r="1144" spans="1:17" ht="14.25">
      <c r="A1144" s="2107" t="str">
        <f>'Part VII-Threshold Criteria'!A272</f>
        <v>NA</v>
      </c>
      <c r="B1144" s="2107"/>
      <c r="C1144" s="2107"/>
      <c r="D1144" s="2107"/>
      <c r="E1144" s="2107"/>
      <c r="F1144" s="2107"/>
      <c r="G1144" s="2107"/>
      <c r="H1144" s="2107"/>
      <c r="I1144" s="2107"/>
      <c r="J1144" s="2107"/>
      <c r="K1144" s="2107"/>
      <c r="L1144" s="2107"/>
      <c r="M1144" s="2107"/>
      <c r="N1144" s="2107"/>
      <c r="O1144" s="2107"/>
      <c r="P1144" s="2107"/>
      <c r="Q1144" s="2107"/>
    </row>
    <row r="1145" spans="1:17" ht="14.25">
      <c r="A1145" s="1745"/>
      <c r="B1145" s="2106" t="s">
        <v>1452</v>
      </c>
      <c r="C1145" s="2106"/>
      <c r="D1145" s="1745"/>
      <c r="E1145" s="1745"/>
      <c r="F1145" s="1745"/>
      <c r="G1145" s="1745"/>
      <c r="H1145" s="1745"/>
      <c r="I1145" s="1745"/>
      <c r="J1145" s="1745"/>
      <c r="K1145" s="1745"/>
      <c r="L1145" s="1745"/>
      <c r="M1145" s="1745"/>
      <c r="N1145" s="1745"/>
      <c r="O1145" s="1745"/>
      <c r="P1145" s="1745"/>
      <c r="Q1145" s="1745"/>
    </row>
    <row r="1146" spans="1:17" ht="14.25">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5">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5">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5">
      <c r="A1149" s="2104" t="s">
        <v>1587</v>
      </c>
      <c r="B1149" s="1750" t="s">
        <v>1594</v>
      </c>
      <c r="C1149" s="1750"/>
      <c r="D1149" s="1750"/>
      <c r="E1149" s="1746"/>
      <c r="F1149" s="1746"/>
      <c r="G1149" s="1746"/>
      <c r="H1149" s="1746"/>
      <c r="I1149" s="1745"/>
      <c r="J1149" s="1745"/>
      <c r="K1149" s="1745"/>
      <c r="L1149" s="1745"/>
      <c r="M1149" s="1745"/>
      <c r="N1149" s="1745"/>
      <c r="O1149" s="2105" t="s">
        <v>1450</v>
      </c>
      <c r="P1149" s="1750"/>
      <c r="Q1149" s="1750"/>
    </row>
    <row r="1150" spans="1:17" ht="15" customHeight="1">
      <c r="A1150" s="1745"/>
      <c r="B1150" s="1745" t="s">
        <v>7590</v>
      </c>
      <c r="C1150" s="1745"/>
      <c r="D1150" s="1745"/>
      <c r="E1150" s="1745"/>
      <c r="F1150" s="1745"/>
      <c r="G1150" s="1745"/>
      <c r="H1150" s="1745"/>
      <c r="I1150" s="1745"/>
      <c r="J1150" s="1745"/>
      <c r="K1150" s="1745"/>
      <c r="L1150" s="1745"/>
      <c r="M1150" s="1745"/>
      <c r="N1150" s="1745"/>
      <c r="O1150" s="1750"/>
      <c r="P1150" s="1750" t="str">
        <f>'Part VII-Threshold Criteria'!P278</f>
        <v>Agree</v>
      </c>
      <c r="Q1150" s="1750"/>
    </row>
    <row r="1151" spans="1:17" ht="15" customHeight="1">
      <c r="A1151" s="1827"/>
      <c r="B1151" s="2107" t="s">
        <v>1596</v>
      </c>
      <c r="C1151" s="2107"/>
      <c r="D1151" s="2107"/>
      <c r="E1151" s="2107"/>
      <c r="F1151" s="2107"/>
      <c r="G1151" s="2107"/>
      <c r="H1151" s="2107"/>
      <c r="I1151" s="2107"/>
      <c r="J1151" s="2107"/>
      <c r="K1151" s="2107"/>
      <c r="L1151" s="2107"/>
      <c r="M1151" s="2107"/>
      <c r="N1151" s="2107"/>
      <c r="O1151" s="2107"/>
      <c r="P1151" s="1750" t="str">
        <f>'Part VII-Threshold Criteria'!P279</f>
        <v>Agree</v>
      </c>
      <c r="Q1151" s="1750"/>
    </row>
    <row r="1152" spans="1:17" ht="15">
      <c r="A1152" s="1745"/>
      <c r="B1152" s="2106" t="s">
        <v>1456</v>
      </c>
      <c r="C1152" s="1745"/>
      <c r="D1152" s="2106"/>
      <c r="E1152" s="2106"/>
      <c r="F1152" s="2106"/>
      <c r="G1152" s="2106"/>
      <c r="H1152" s="1745"/>
      <c r="I1152" s="1745"/>
      <c r="J1152" s="1745"/>
      <c r="K1152" s="1745"/>
      <c r="L1152" s="1750"/>
      <c r="M1152" s="1750"/>
      <c r="N1152" s="1750"/>
      <c r="O1152" s="1750"/>
      <c r="P1152" s="1750"/>
      <c r="Q1152" s="1750"/>
    </row>
    <row r="1153" spans="1:17" ht="14.25">
      <c r="A1153" s="2107" t="str">
        <f>'Part VII-Threshold Criteria'!A281</f>
        <v>If selected Applicant agrees to submit an AFFH Marketing Plan.</v>
      </c>
      <c r="B1153" s="2107"/>
      <c r="C1153" s="2107"/>
      <c r="D1153" s="2107"/>
      <c r="E1153" s="2107"/>
      <c r="F1153" s="2107"/>
      <c r="G1153" s="2107"/>
      <c r="H1153" s="2107"/>
      <c r="I1153" s="2107"/>
      <c r="J1153" s="2107"/>
      <c r="K1153" s="2107"/>
      <c r="L1153" s="2107"/>
      <c r="M1153" s="2107"/>
      <c r="N1153" s="2107"/>
      <c r="O1153" s="2107"/>
      <c r="P1153" s="2107"/>
      <c r="Q1153" s="2107"/>
    </row>
    <row r="1154" spans="1:17" ht="14.25">
      <c r="A1154" s="1745"/>
      <c r="B1154" s="2106" t="s">
        <v>1452</v>
      </c>
      <c r="C1154" s="2106"/>
      <c r="D1154" s="1745"/>
      <c r="E1154" s="1745"/>
      <c r="F1154" s="1745"/>
      <c r="G1154" s="1745"/>
      <c r="H1154" s="1745"/>
      <c r="I1154" s="1745"/>
      <c r="J1154" s="1745"/>
      <c r="K1154" s="1745"/>
      <c r="L1154" s="1745"/>
      <c r="M1154" s="1745"/>
      <c r="N1154" s="1745"/>
      <c r="O1154" s="1745"/>
      <c r="P1154" s="1745"/>
      <c r="Q1154" s="1745"/>
    </row>
    <row r="1155" spans="1:17" ht="14.25">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5">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5">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5">
      <c r="A1158" s="2104" t="s">
        <v>1593</v>
      </c>
      <c r="B1158" s="2104" t="s">
        <v>1598</v>
      </c>
      <c r="C1158" s="1746"/>
      <c r="D1158" s="1746"/>
      <c r="E1158" s="1746"/>
      <c r="F1158" s="1746"/>
      <c r="G1158" s="1746"/>
      <c r="H1158" s="1746"/>
      <c r="I1158" s="1746"/>
      <c r="J1158" s="1746"/>
      <c r="K1158" s="1746"/>
      <c r="L1158" s="1746"/>
      <c r="M1158" s="1746"/>
      <c r="N1158" s="1745"/>
      <c r="O1158" s="2105" t="s">
        <v>1450</v>
      </c>
      <c r="P1158" s="1750"/>
      <c r="Q1158" s="1750"/>
    </row>
    <row r="1159" spans="1:17" ht="15">
      <c r="A1159" s="1827" t="s">
        <v>185</v>
      </c>
      <c r="B1159" s="2104" t="s">
        <v>1599</v>
      </c>
      <c r="C1159" s="2104"/>
      <c r="D1159" s="1746"/>
      <c r="E1159" s="1746"/>
      <c r="F1159" s="1746"/>
      <c r="G1159" s="1746"/>
      <c r="H1159" s="1746"/>
      <c r="I1159" s="1746"/>
      <c r="J1159" s="1746"/>
      <c r="K1159" s="1746"/>
      <c r="L1159" s="1746"/>
      <c r="M1159" s="1746"/>
      <c r="N1159" s="1745"/>
      <c r="O1159" s="1745"/>
      <c r="P1159" s="1750" t="str">
        <f>'Part VII-Threshold Criteria'!P287</f>
        <v>Agree</v>
      </c>
      <c r="Q1159" s="2114"/>
    </row>
    <row r="1160" spans="1:17" ht="14.25" customHeight="1">
      <c r="A1160" s="1746"/>
      <c r="B1160" s="2107" t="s">
        <v>7591</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5">
      <c r="A1161" s="1827" t="s">
        <v>197</v>
      </c>
      <c r="B1161" s="1750" t="s">
        <v>1601</v>
      </c>
      <c r="C1161" s="1745"/>
      <c r="D1161" s="1745"/>
      <c r="E1161" s="1745"/>
      <c r="F1161" s="1745"/>
      <c r="G1161" s="1745"/>
      <c r="H1161" s="1745"/>
      <c r="I1161" s="1745"/>
      <c r="J1161" s="1745"/>
      <c r="K1161" s="1745"/>
      <c r="L1161" s="1745"/>
      <c r="M1161" s="1745"/>
      <c r="N1161" s="1745"/>
      <c r="O1161" s="1745"/>
      <c r="P1161" s="1750" t="str">
        <f>'Part VII-Threshold Criteria'!P289</f>
        <v>Agree</v>
      </c>
      <c r="Q1161" s="2114"/>
    </row>
    <row r="1162" spans="1:17" ht="14.25" customHeight="1">
      <c r="A1162" s="1746"/>
      <c r="B1162" s="2107" t="s">
        <v>7592</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5">
      <c r="A1163" s="2104"/>
      <c r="B1163" s="2106" t="s">
        <v>1456</v>
      </c>
      <c r="C1163" s="1745"/>
      <c r="D1163" s="2106"/>
      <c r="E1163" s="2106"/>
      <c r="F1163" s="2106"/>
      <c r="G1163" s="2106"/>
      <c r="H1163" s="1745"/>
      <c r="I1163" s="1745"/>
      <c r="J1163" s="1745"/>
      <c r="K1163" s="1745"/>
      <c r="L1163" s="1750"/>
      <c r="M1163" s="1750"/>
      <c r="N1163" s="1750"/>
      <c r="O1163" s="1750"/>
      <c r="P1163" s="1750"/>
      <c r="Q1163" s="1750"/>
    </row>
    <row r="1164" spans="1:17" ht="14.25">
      <c r="A1164" s="2107" t="str">
        <f>'Part VII-Threshold Criteria'!A292</f>
        <v>Applicant agrees that the proposed development will meet all the requirements under the 2026-2027 QAP, XXIV Supportive Housing.</v>
      </c>
      <c r="B1164" s="2107"/>
      <c r="C1164" s="2107"/>
      <c r="D1164" s="2107"/>
      <c r="E1164" s="2107"/>
      <c r="F1164" s="2107"/>
      <c r="G1164" s="2107"/>
      <c r="H1164" s="2107"/>
      <c r="I1164" s="2107"/>
      <c r="J1164" s="2107"/>
      <c r="K1164" s="2107"/>
      <c r="L1164" s="2107"/>
      <c r="M1164" s="2107"/>
      <c r="N1164" s="2107"/>
      <c r="O1164" s="2107"/>
      <c r="P1164" s="2107"/>
      <c r="Q1164" s="2107"/>
    </row>
    <row r="1165" spans="1:17" ht="14.25">
      <c r="A1165" s="1745"/>
      <c r="B1165" s="2106" t="s">
        <v>1452</v>
      </c>
      <c r="C1165" s="2106"/>
      <c r="D1165" s="1745"/>
      <c r="E1165" s="1745"/>
      <c r="F1165" s="1745"/>
      <c r="G1165" s="1745"/>
      <c r="H1165" s="1745"/>
      <c r="I1165" s="1745"/>
      <c r="J1165" s="1745"/>
      <c r="K1165" s="1745"/>
      <c r="L1165" s="1745"/>
      <c r="M1165" s="1745"/>
      <c r="N1165" s="1745"/>
      <c r="O1165" s="1745"/>
      <c r="P1165" s="1745"/>
      <c r="Q1165" s="1745"/>
    </row>
    <row r="1166" spans="1:17" ht="14.25">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5">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5">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5">
      <c r="A1169" s="2104" t="s">
        <v>1597</v>
      </c>
      <c r="B1169" s="2104" t="s">
        <v>1604</v>
      </c>
      <c r="C1169" s="1746"/>
      <c r="D1169" s="1746"/>
      <c r="E1169" s="1746"/>
      <c r="F1169" s="1746"/>
      <c r="G1169" s="1746"/>
      <c r="H1169" s="1746"/>
      <c r="I1169" s="1746"/>
      <c r="J1169" s="1746"/>
      <c r="K1169" s="1746"/>
      <c r="L1169" s="1746"/>
      <c r="M1169" s="1746"/>
      <c r="N1169" s="1745"/>
      <c r="O1169" s="2105" t="s">
        <v>1450</v>
      </c>
      <c r="P1169" s="1750"/>
      <c r="Q1169" s="1750"/>
    </row>
    <row r="1170" spans="1:17" ht="15" customHeight="1">
      <c r="A1170" s="2104"/>
      <c r="B1170" s="1745" t="s">
        <v>7593</v>
      </c>
      <c r="C1170" s="1745"/>
      <c r="D1170" s="1745"/>
      <c r="E1170" s="1745"/>
      <c r="F1170" s="1745"/>
      <c r="G1170" s="1745"/>
      <c r="H1170" s="1745"/>
      <c r="I1170" s="1745"/>
      <c r="J1170" s="1745"/>
      <c r="K1170" s="1745"/>
      <c r="L1170" s="1745"/>
      <c r="M1170" s="1745"/>
      <c r="N1170" s="1745"/>
      <c r="O1170" s="1745"/>
      <c r="P1170" s="1750" t="str">
        <f>'Part VII-Threshold Criteria'!P298</f>
        <v>Yes</v>
      </c>
      <c r="Q1170" s="1750"/>
    </row>
    <row r="1171" spans="1:17" ht="15">
      <c r="A1171" s="2104"/>
      <c r="B1171" s="2106" t="s">
        <v>1456</v>
      </c>
      <c r="C1171" s="1745"/>
      <c r="D1171" s="2106"/>
      <c r="E1171" s="2106"/>
      <c r="F1171" s="2106"/>
      <c r="G1171" s="2106"/>
      <c r="H1171" s="1745"/>
      <c r="I1171" s="1745"/>
      <c r="J1171" s="1745"/>
      <c r="K1171" s="1745"/>
      <c r="L1171" s="1750"/>
      <c r="M1171" s="1750"/>
      <c r="N1171" s="1750"/>
      <c r="O1171" s="1750"/>
      <c r="P1171" s="1750"/>
      <c r="Q1171" s="1750"/>
    </row>
    <row r="1172" spans="1:17" ht="14.25">
      <c r="A1172" s="2107" t="str">
        <f>'Part VII-Threshold Criteria'!A300</f>
        <v xml:space="preserve">Applicant certifies that they will meet the requirements of the 2026-2027 QAP, XXV. </v>
      </c>
      <c r="B1172" s="2107"/>
      <c r="C1172" s="2107"/>
      <c r="D1172" s="2107"/>
      <c r="E1172" s="2107"/>
      <c r="F1172" s="2107"/>
      <c r="G1172" s="2107"/>
      <c r="H1172" s="2107"/>
      <c r="I1172" s="2107"/>
      <c r="J1172" s="2107"/>
      <c r="K1172" s="2107"/>
      <c r="L1172" s="2107"/>
      <c r="M1172" s="2107"/>
      <c r="N1172" s="2107"/>
      <c r="O1172" s="2107"/>
      <c r="P1172" s="2107"/>
      <c r="Q1172" s="2107"/>
    </row>
    <row r="1173" spans="1:17" ht="14.25">
      <c r="A1173" s="1745"/>
      <c r="B1173" s="2106" t="s">
        <v>1452</v>
      </c>
      <c r="C1173" s="2106"/>
      <c r="D1173" s="1745"/>
      <c r="E1173" s="1745"/>
      <c r="F1173" s="1745"/>
      <c r="G1173" s="1745"/>
      <c r="H1173" s="1745"/>
      <c r="I1173" s="1745"/>
      <c r="J1173" s="1745"/>
      <c r="K1173" s="1745"/>
      <c r="L1173" s="1745"/>
      <c r="M1173" s="1745"/>
      <c r="N1173" s="1745"/>
      <c r="O1173" s="1745"/>
      <c r="P1173" s="1745"/>
      <c r="Q1173" s="1745"/>
    </row>
    <row r="1174" spans="1:17" ht="14.25">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5">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5">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5">
      <c r="A1177" s="2104" t="s">
        <v>1603</v>
      </c>
      <c r="B1177" s="1750" t="s">
        <v>1607</v>
      </c>
      <c r="C1177" s="1745"/>
      <c r="D1177" s="1750"/>
      <c r="E1177" s="1746"/>
      <c r="F1177" s="1746"/>
      <c r="G1177" s="1746"/>
      <c r="H1177" s="1746"/>
      <c r="I1177" s="1745"/>
      <c r="J1177" s="1746"/>
      <c r="K1177" s="1746"/>
      <c r="L1177" s="1746"/>
      <c r="M1177" s="1746"/>
      <c r="N1177" s="1745"/>
      <c r="O1177" s="2105" t="s">
        <v>1450</v>
      </c>
      <c r="P1177" s="1750"/>
      <c r="Q1177" s="1750"/>
    </row>
    <row r="1178" spans="1:17" ht="15" customHeight="1">
      <c r="A1178" s="2104"/>
      <c r="B1178" s="1745" t="s">
        <v>1608</v>
      </c>
      <c r="C1178" s="1745"/>
      <c r="D1178" s="1745"/>
      <c r="E1178" s="1745"/>
      <c r="F1178" s="1745"/>
      <c r="G1178" s="1745"/>
      <c r="H1178" s="1745"/>
      <c r="I1178" s="1745"/>
      <c r="J1178" s="1745"/>
      <c r="K1178" s="1745"/>
      <c r="L1178" s="1745"/>
      <c r="M1178" s="1745"/>
      <c r="N1178" s="1745"/>
      <c r="O1178" s="1745"/>
      <c r="P1178" s="1750" t="str">
        <f>'Part VII-Threshold Criteria'!P306</f>
        <v>Yes</v>
      </c>
      <c r="Q1178" s="1750"/>
    </row>
    <row r="1179" spans="1:17" ht="15" customHeight="1">
      <c r="A1179" s="2104"/>
      <c r="B1179" s="2107" t="s">
        <v>1609</v>
      </c>
      <c r="C1179" s="2107"/>
      <c r="D1179" s="2107"/>
      <c r="E1179" s="2107"/>
      <c r="F1179" s="2107"/>
      <c r="G1179" s="2107"/>
      <c r="H1179" s="2107"/>
      <c r="I1179" s="2107"/>
      <c r="J1179" s="2107"/>
      <c r="K1179" s="2107"/>
      <c r="L1179" s="2107"/>
      <c r="M1179" s="2107"/>
      <c r="N1179" s="2107"/>
      <c r="O1179" s="2107"/>
      <c r="P1179" s="1750" t="str">
        <f>'Part VII-Threshold Criteria'!P307</f>
        <v>Yes</v>
      </c>
      <c r="Q1179" s="2114"/>
    </row>
    <row r="1180" spans="1:17" ht="15">
      <c r="A1180" s="2104"/>
      <c r="B1180" s="2106" t="s">
        <v>1456</v>
      </c>
      <c r="C1180" s="1745"/>
      <c r="D1180" s="2106"/>
      <c r="E1180" s="2106"/>
      <c r="F1180" s="2106"/>
      <c r="G1180" s="2106"/>
      <c r="H1180" s="1745"/>
      <c r="I1180" s="1745"/>
      <c r="J1180" s="1745"/>
      <c r="K1180" s="1745"/>
      <c r="L1180" s="1750"/>
      <c r="M1180" s="1750"/>
      <c r="N1180" s="1750"/>
      <c r="O1180" s="1750"/>
      <c r="P1180" s="1750"/>
      <c r="Q1180" s="1750"/>
    </row>
    <row r="1181" spans="1:17" ht="14.25">
      <c r="A1181" s="2107" t="str">
        <f>'Part VII-Threshold Criteria'!A309</f>
        <v>Applicant certifies that they will meet the requirements of the XXVI. DCA PBRA Agreement Senction.</v>
      </c>
      <c r="B1181" s="2107"/>
      <c r="C1181" s="2107"/>
      <c r="D1181" s="2107"/>
      <c r="E1181" s="2107"/>
      <c r="F1181" s="2107"/>
      <c r="G1181" s="2107"/>
      <c r="H1181" s="2107"/>
      <c r="I1181" s="2107"/>
      <c r="J1181" s="2107"/>
      <c r="K1181" s="2107"/>
      <c r="L1181" s="2107"/>
      <c r="M1181" s="2107"/>
      <c r="N1181" s="2107"/>
      <c r="O1181" s="2107"/>
      <c r="P1181" s="2107"/>
      <c r="Q1181" s="2107"/>
    </row>
    <row r="1182" spans="1:17" ht="14.25">
      <c r="A1182" s="1745"/>
      <c r="B1182" s="2106" t="s">
        <v>1452</v>
      </c>
      <c r="C1182" s="2106"/>
      <c r="D1182" s="1745"/>
      <c r="E1182" s="1745"/>
      <c r="F1182" s="1745"/>
      <c r="G1182" s="1745"/>
      <c r="H1182" s="1745"/>
      <c r="I1182" s="1745"/>
      <c r="J1182" s="1745"/>
      <c r="K1182" s="1745"/>
      <c r="L1182" s="1745"/>
      <c r="M1182" s="1745"/>
      <c r="N1182" s="1745"/>
      <c r="O1182" s="1745"/>
      <c r="P1182" s="1745"/>
      <c r="Q1182" s="1745"/>
    </row>
    <row r="1183" spans="1:17" ht="14.25">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5">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5">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5">
      <c r="A1186" s="2104" t="s">
        <v>1606</v>
      </c>
      <c r="B1186" s="1750" t="s">
        <v>1614</v>
      </c>
      <c r="C1186" s="1745"/>
      <c r="D1186" s="1750"/>
      <c r="E1186" s="1746"/>
      <c r="F1186" s="1746"/>
      <c r="G1186" s="1746"/>
      <c r="H1186" s="1746"/>
      <c r="I1186" s="1745"/>
      <c r="J1186" s="1746"/>
      <c r="K1186" s="1746"/>
      <c r="L1186" s="1746"/>
      <c r="M1186" s="1746"/>
      <c r="N1186" s="1745"/>
      <c r="O1186" s="2105" t="s">
        <v>1450</v>
      </c>
      <c r="P1186" s="1750"/>
      <c r="Q1186" s="1750"/>
    </row>
    <row r="1187" spans="1:32" ht="15">
      <c r="A1187" s="2104"/>
      <c r="B1187" s="2110" t="s">
        <v>1456</v>
      </c>
      <c r="C1187" s="1745"/>
      <c r="D1187" s="2110"/>
      <c r="E1187" s="2110"/>
      <c r="F1187" s="2110"/>
      <c r="G1187" s="2110"/>
      <c r="H1187" s="1746"/>
      <c r="I1187" s="1747"/>
      <c r="J1187" s="1747"/>
      <c r="K1187" s="1747"/>
      <c r="L1187" s="1748"/>
      <c r="M1187" s="1748"/>
      <c r="N1187" s="1748"/>
      <c r="O1187" s="1748"/>
      <c r="P1187" s="1750"/>
      <c r="Q1187" s="1750"/>
    </row>
    <row r="1188" spans="1:32" ht="14.25">
      <c r="A1188" s="2107" t="str">
        <f>'Part VII-Threshold Criteria'!A322</f>
        <v>Applicant believes that the project is an optimal utilization of resources.</v>
      </c>
      <c r="B1188" s="2107"/>
      <c r="C1188" s="2107"/>
      <c r="D1188" s="2107"/>
      <c r="E1188" s="2107"/>
      <c r="F1188" s="2107"/>
      <c r="G1188" s="2107"/>
      <c r="H1188" s="2107"/>
      <c r="I1188" s="2107"/>
      <c r="J1188" s="2107"/>
      <c r="K1188" s="2107"/>
      <c r="L1188" s="2107"/>
      <c r="M1188" s="2107"/>
      <c r="N1188" s="2107"/>
      <c r="O1188" s="2107"/>
      <c r="P1188" s="2107"/>
      <c r="Q1188" s="2107"/>
    </row>
    <row r="1189" spans="1:32" ht="14.25">
      <c r="A1189" s="1745"/>
      <c r="B1189" s="2106" t="s">
        <v>1452</v>
      </c>
      <c r="C1189" s="2106"/>
      <c r="D1189" s="1745"/>
      <c r="E1189" s="1745"/>
      <c r="F1189" s="1745"/>
      <c r="G1189" s="1745"/>
      <c r="H1189" s="1745"/>
      <c r="I1189" s="1745"/>
      <c r="J1189" s="1745"/>
      <c r="K1189" s="1745"/>
      <c r="L1189" s="1745"/>
      <c r="M1189" s="1745"/>
      <c r="N1189" s="1745"/>
      <c r="O1189" s="1745"/>
      <c r="P1189" s="1745"/>
      <c r="Q1189" s="1745"/>
    </row>
    <row r="1190" spans="1:32" ht="14.25">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5">
      <c r="A1195" s="1445" t="str">
        <f>CONCATENATE("PART EIGHT - SCORING CRITERIA","  -  ",'Part I-Project Identification'!$O$7," ",'Part I-Project Identification'!$F$27,", ",'Part I-Project Identification'!F1218,", ",'Part I-Project Identification'!J1218," County")</f>
        <v>PART EIGHT - SCORING CRITERIA  -  2026-0xx Westchester Village II,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5">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1721</v>
      </c>
      <c r="B1197" s="2138"/>
      <c r="C1197" s="2138"/>
      <c r="D1197" s="2138"/>
      <c r="E1197" s="2138"/>
      <c r="F1197" s="2138"/>
      <c r="G1197" s="2138"/>
      <c r="H1197" s="2138"/>
      <c r="I1197" s="2138"/>
      <c r="J1197" s="2138"/>
      <c r="K1197" s="2138"/>
      <c r="L1197" s="2138"/>
      <c r="M1197" s="2567" t="s">
        <v>1722</v>
      </c>
      <c r="N1197" s="1454"/>
      <c r="O1197" s="2567" t="s">
        <v>1723</v>
      </c>
      <c r="P1197" s="2567" t="s">
        <v>1724</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1725</v>
      </c>
      <c r="N1198" s="1445"/>
      <c r="O1198" s="2567" t="s">
        <v>1725</v>
      </c>
      <c r="P1198" s="2567" t="s">
        <v>1725</v>
      </c>
      <c r="Q1198" s="1445"/>
      <c r="R1198" s="1445"/>
      <c r="S1198" s="1445"/>
      <c r="T1198" s="1445"/>
      <c r="U1198" s="1445"/>
      <c r="V1198" s="1445"/>
      <c r="W1198" s="1446"/>
      <c r="X1198" s="1446"/>
      <c r="Y1198" s="1446"/>
      <c r="Z1198" s="1446"/>
      <c r="AA1198" s="1446"/>
      <c r="AB1198" s="1446"/>
      <c r="AC1198" s="1446"/>
      <c r="AD1198" s="1446"/>
      <c r="AE1198" s="1446"/>
      <c r="AF1198" s="1446"/>
    </row>
    <row r="1199" spans="1:32" ht="15">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5">
      <c r="A1200" s="1446"/>
      <c r="B1200" s="2139" t="str">
        <f>'Part I-Project Identification'!$A$6</f>
        <v>May XX, 2026</v>
      </c>
      <c r="C1200" s="2139"/>
      <c r="D1200" s="2139"/>
      <c r="E1200" s="2139"/>
      <c r="F1200" s="2139"/>
      <c r="G1200" s="1446"/>
      <c r="H1200" s="1446"/>
      <c r="I1200" s="1446"/>
      <c r="J1200" s="1446"/>
      <c r="K1200" s="1446"/>
      <c r="L1200" s="2567" t="s">
        <v>1726</v>
      </c>
      <c r="M1200" s="1462"/>
      <c r="N1200" s="2140"/>
      <c r="O1200" s="2141">
        <f>O1602</f>
        <v>81.5</v>
      </c>
      <c r="P1200" s="2141">
        <f>P1602</f>
        <v>12</v>
      </c>
      <c r="Q1200" s="1445" t="s">
        <v>1727</v>
      </c>
      <c r="R1200" s="1446"/>
      <c r="S1200" s="1446"/>
      <c r="T1200" s="1446"/>
      <c r="U1200" s="1446"/>
      <c r="V1200" s="1446"/>
      <c r="W1200" s="1446"/>
      <c r="X1200" s="1446"/>
      <c r="Y1200" s="1446"/>
      <c r="Z1200" s="1446"/>
      <c r="AA1200" s="1446"/>
      <c r="AB1200" s="1446"/>
      <c r="AC1200" s="1446"/>
      <c r="AD1200" s="1446"/>
      <c r="AE1200" s="1446"/>
      <c r="AF1200" s="1446"/>
    </row>
    <row r="1201" spans="1:32" ht="15">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5">
      <c r="A1202" s="1730" t="s">
        <v>25</v>
      </c>
      <c r="B1202" s="1731" t="s">
        <v>1728</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5">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5">
      <c r="A1204" s="2143" t="str">
        <f>IF(OR((D1206-C1206&gt;0),(E1206-C1206&gt;0)),"Points Exceed Max!","")</f>
        <v/>
      </c>
      <c r="B1204" s="2143"/>
      <c r="C1204" s="1463" t="s">
        <v>1729</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1722</v>
      </c>
      <c r="D1205" s="1454" t="s">
        <v>1730</v>
      </c>
      <c r="E1205" s="1454" t="s">
        <v>1724</v>
      </c>
      <c r="F1205" s="1445" t="s">
        <v>1731</v>
      </c>
      <c r="G1205" s="1445"/>
      <c r="H1205" s="1445" t="str">
        <f>'Part VIII Scoring Criteria'!M11</f>
        <v>New Affordability</v>
      </c>
      <c r="I1205" s="1445"/>
      <c r="J1205" s="1445"/>
      <c r="K1205" s="1445" t="s">
        <v>1733</v>
      </c>
      <c r="L1205" s="1445" t="str">
        <f>'Part VIII Scoring Criteria'!X11</f>
        <v>Other Metro</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5">
      <c r="A1206" s="2143"/>
      <c r="B1206" s="2143"/>
      <c r="C1206" s="2567">
        <v>33</v>
      </c>
      <c r="D1206" s="2567">
        <f>IF($C$16="4%",O1354+O1363+O1384+O1400+O1432+O1459,0)</f>
        <v>0</v>
      </c>
      <c r="E1206" s="2567">
        <f>IF($C$16="4%",P1354+P1363+P1384+P1400+P1432+P1459,0)</f>
        <v>0</v>
      </c>
      <c r="F1206" s="1445"/>
      <c r="G1206" s="1445"/>
      <c r="H1206" s="1445" t="s">
        <v>1732</v>
      </c>
      <c r="I1206" s="1445"/>
      <c r="J1206" s="1445"/>
      <c r="K1206" s="1445"/>
      <c r="L1206" s="1445" t="s">
        <v>1734</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5">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5">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1735</v>
      </c>
      <c r="D1209" s="1445"/>
      <c r="E1209" s="1463"/>
      <c r="F1209" s="1445" t="s">
        <v>7594</v>
      </c>
      <c r="G1209" s="1445"/>
      <c r="H1209" s="1445" t="str">
        <f>'Part VIII Scoring Criteria'!M15</f>
        <v>Housing Needs Characteristics + Stable Communities Characteristics</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5">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1737</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5">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1740</v>
      </c>
      <c r="D1212" s="1446" t="s">
        <v>1741</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5">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5">
      <c r="A1214" s="1730" t="s">
        <v>31</v>
      </c>
      <c r="B1214" s="1731" t="s">
        <v>1742</v>
      </c>
      <c r="C1214" s="1463"/>
      <c r="D1214" s="1463"/>
      <c r="E1214" s="1463"/>
      <c r="F1214" s="1463"/>
      <c r="G1214" s="1463"/>
      <c r="H1214" s="1465"/>
      <c r="I1214" s="1463"/>
      <c r="J1214" s="1454"/>
      <c r="K1214" s="1446"/>
      <c r="L1214" s="2146" t="s">
        <v>1743</v>
      </c>
      <c r="M1214" s="2567">
        <v>6</v>
      </c>
      <c r="N1214" s="1454"/>
      <c r="O1214" s="1462">
        <f>'Part VIII Scoring Criteria'!AA23</f>
        <v>6</v>
      </c>
      <c r="P1214" s="1462">
        <f>'Part VIII Scoring Criteria'!AB23</f>
        <v>0</v>
      </c>
      <c r="Q1214" s="2567" t="s">
        <v>1744</v>
      </c>
      <c r="R1214" s="1463"/>
      <c r="S1214" s="1463"/>
      <c r="T1214" s="1731"/>
      <c r="U1214" s="1731"/>
      <c r="V1214" s="1463"/>
      <c r="W1214" s="1463"/>
      <c r="X1214" s="1463"/>
      <c r="Y1214" s="1463"/>
      <c r="Z1214" s="1463"/>
      <c r="AA1214" s="1463"/>
      <c r="AB1214" s="1463"/>
      <c r="AC1214" s="1463"/>
      <c r="AD1214" s="1463"/>
      <c r="AE1214" s="1463"/>
      <c r="AF1214" s="1463"/>
    </row>
    <row r="1215" spans="1:32" ht="15">
      <c r="A1215" s="2567" t="s">
        <v>185</v>
      </c>
      <c r="B1215" s="1445" t="s">
        <v>6918</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5">
      <c r="A1216" s="2567"/>
      <c r="B1216" s="2151" t="s">
        <v>200</v>
      </c>
      <c r="C1216" s="1465" t="s">
        <v>7595</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5">
      <c r="A1217" s="2567"/>
      <c r="B1217" s="2153" t="s">
        <v>208</v>
      </c>
      <c r="C1217" s="1465" t="s">
        <v>7596</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5">
      <c r="A1218" s="2567"/>
      <c r="B1218" s="2153" t="s">
        <v>212</v>
      </c>
      <c r="C1218" s="1465" t="s">
        <v>7597</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5">
      <c r="A1219" s="2567" t="s">
        <v>197</v>
      </c>
      <c r="B1219" s="1445" t="s">
        <v>1747</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1748</v>
      </c>
      <c r="C1220" s="1446"/>
      <c r="D1220" s="1446"/>
      <c r="E1220" s="1446"/>
      <c r="F1220" s="1446"/>
      <c r="G1220" s="1446"/>
      <c r="H1220" s="1446"/>
      <c r="I1220" s="1446"/>
      <c r="J1220" s="1446"/>
      <c r="K1220" s="1446"/>
      <c r="L1220" s="1446"/>
      <c r="M1220" s="1454"/>
      <c r="N1220" s="1733"/>
      <c r="O1220" s="2567">
        <f>'Part VIII Scoring Criteria'!AA27</f>
        <v>0</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5">
      <c r="A1221" s="2567" t="s">
        <v>218</v>
      </c>
      <c r="B1221" s="1445" t="s">
        <v>7598</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7599</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5">
      <c r="A1223" s="1468"/>
      <c r="B1223" s="2156" t="s">
        <v>200</v>
      </c>
      <c r="C1223" s="1468" t="s">
        <v>1751</v>
      </c>
      <c r="D1223" s="1468"/>
      <c r="E1223" s="1468"/>
      <c r="F1223" s="1468"/>
      <c r="G1223" s="1468"/>
      <c r="H1223" s="1468"/>
      <c r="I1223" s="1468"/>
      <c r="J1223" s="1468"/>
      <c r="K1223" s="1468"/>
      <c r="L1223" s="1468"/>
      <c r="M1223" s="1467"/>
      <c r="N1223" s="2157"/>
      <c r="O1223" s="2567">
        <f>'Part VIII Scoring Criteria'!AA30</f>
        <v>0</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5">
      <c r="A1224" s="1468"/>
      <c r="B1224" s="2153" t="s">
        <v>208</v>
      </c>
      <c r="C1224" s="1469" t="s">
        <v>1752</v>
      </c>
      <c r="D1224" s="1469"/>
      <c r="E1224" s="1469"/>
      <c r="F1224" s="1469"/>
      <c r="G1224" s="1469"/>
      <c r="H1224" s="1469"/>
      <c r="I1224" s="1469"/>
      <c r="J1224" s="1469"/>
      <c r="K1224" s="1469"/>
      <c r="L1224" s="1469"/>
      <c r="M1224" s="1467"/>
      <c r="N1224" s="2157"/>
      <c r="O1224" s="2567">
        <f>'Part VIII Scoring Criteria'!AA31</f>
        <v>0</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5">
      <c r="A1225" s="1468"/>
      <c r="B1225" s="1468"/>
      <c r="C1225" s="1469" t="s">
        <v>1753</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212</v>
      </c>
      <c r="C1226" s="1468" t="s">
        <v>1754</v>
      </c>
      <c r="D1226" s="1468"/>
      <c r="E1226" s="1468"/>
      <c r="F1226" s="1468"/>
      <c r="G1226" s="1468"/>
      <c r="H1226" s="1468"/>
      <c r="I1226" s="1468"/>
      <c r="J1226" s="1468"/>
      <c r="K1226" s="1468"/>
      <c r="L1226" s="1468"/>
      <c r="M1226" s="1468"/>
      <c r="N1226" s="1468"/>
      <c r="O1226" s="2567"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5">
      <c r="A1227" s="1446"/>
      <c r="B1227" s="2160" t="s">
        <v>1452</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5">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5">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5">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5">
      <c r="A1231" s="1730" t="s">
        <v>43</v>
      </c>
      <c r="B1231" s="1731" t="s">
        <v>6930</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1744</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7600</v>
      </c>
      <c r="C1232" s="1446"/>
      <c r="D1232" s="1731"/>
      <c r="E1232" s="1731"/>
      <c r="F1232" s="1446"/>
      <c r="G1232" s="1446"/>
      <c r="H1232" s="1446"/>
      <c r="I1232" s="1446"/>
      <c r="J1232" s="2163"/>
      <c r="K1232" s="1446"/>
      <c r="L1232" s="1446"/>
      <c r="M1232" s="2567"/>
      <c r="N1232" s="1446"/>
      <c r="O1232" s="2164" t="s">
        <v>7601</v>
      </c>
      <c r="P1232" s="2164" t="s">
        <v>6829</v>
      </c>
      <c r="Q1232" s="2567"/>
      <c r="R1232" s="1445"/>
      <c r="S1232" s="1445"/>
      <c r="T1232" s="1445"/>
      <c r="U1232" s="1445"/>
      <c r="V1232" s="1445"/>
      <c r="W1232" s="1463"/>
      <c r="X1232" s="1463"/>
      <c r="Y1232" s="1446"/>
      <c r="Z1232" s="1446"/>
      <c r="AA1232" s="1446"/>
      <c r="AB1232" s="1446"/>
      <c r="AC1232" s="1446"/>
      <c r="AD1232" s="1446"/>
      <c r="AE1232" s="1446"/>
      <c r="AF1232" s="1446"/>
    </row>
    <row r="1233" spans="1:32" ht="15">
      <c r="A1233" s="1730"/>
      <c r="B1233" s="1446"/>
      <c r="C1233" s="1446" t="s">
        <v>6933</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5">
      <c r="A1234" s="1730"/>
      <c r="B1234" s="1446"/>
      <c r="C1234" s="1446" t="s">
        <v>7602</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5">
      <c r="A1235" s="1730"/>
      <c r="B1235" s="1446"/>
      <c r="C1235" s="1446" t="s">
        <v>6934</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7603</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5">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5">
      <c r="A1238" s="2567" t="s">
        <v>185</v>
      </c>
      <c r="B1238" s="2166" t="s">
        <v>6941</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5">
      <c r="A1239" s="2167"/>
      <c r="B1239" s="1469" t="s">
        <v>7604</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5">
      <c r="A1240" s="2567" t="s">
        <v>197</v>
      </c>
      <c r="B1240" s="2166" t="s">
        <v>6945</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5">
      <c r="A1241" s="2567"/>
      <c r="B1241" s="1446" t="s">
        <v>7605</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7606</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5">
      <c r="A1243" s="1446"/>
      <c r="B1243" s="2142" t="s">
        <v>7607</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5">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5">
      <c r="A1245" s="1446"/>
      <c r="B1245" s="2160" t="s">
        <v>1452</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5">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5">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5">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5">
      <c r="A1249" s="1730" t="s">
        <v>57</v>
      </c>
      <c r="B1249" s="1731" t="s">
        <v>1755</v>
      </c>
      <c r="C1249" s="1463"/>
      <c r="D1249" s="1470"/>
      <c r="E1249" s="1470"/>
      <c r="F1249" s="1446"/>
      <c r="G1249" s="1446"/>
      <c r="H1249" s="1446"/>
      <c r="I1249" s="1463"/>
      <c r="J1249" s="2168"/>
      <c r="K1249" s="2567"/>
      <c r="L1249" s="2146" t="s">
        <v>1743</v>
      </c>
      <c r="M1249" s="1462">
        <v>5</v>
      </c>
      <c r="N1249" s="1454"/>
      <c r="O1249" s="2141">
        <f>'Part VIII Scoring Criteria'!AA38</f>
        <v>0</v>
      </c>
      <c r="P1249" s="2141">
        <f>'Part VIII Scoring Criteria'!AB38</f>
        <v>0</v>
      </c>
      <c r="Q1249" s="2567" t="s">
        <v>1744</v>
      </c>
      <c r="R1249" s="1463"/>
      <c r="S1249" s="1463"/>
      <c r="T1249" s="1463"/>
      <c r="U1249" s="1463"/>
      <c r="V1249" s="1463"/>
      <c r="W1249" s="1463"/>
      <c r="X1249" s="1463"/>
      <c r="Y1249" s="1463"/>
      <c r="Z1249" s="1463"/>
      <c r="AA1249" s="1463"/>
      <c r="AB1249" s="1463"/>
      <c r="AC1249" s="1463"/>
      <c r="AD1249" s="1463"/>
      <c r="AE1249" s="1463"/>
      <c r="AF1249" s="1463"/>
    </row>
    <row r="1250" spans="1:32" ht="15">
      <c r="A1250" s="2169" t="s">
        <v>185</v>
      </c>
      <c r="B1250" s="1445" t="s">
        <v>1756</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0</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1757</v>
      </c>
      <c r="C1251" s="2165"/>
      <c r="D1251" s="2165"/>
      <c r="E1251" s="2165"/>
      <c r="F1251" s="2165"/>
      <c r="G1251" s="2165"/>
      <c r="H1251" s="2165"/>
      <c r="I1251" s="2165"/>
      <c r="J1251" s="2165"/>
      <c r="K1251" s="2165"/>
      <c r="L1251" s="2165"/>
      <c r="M1251" s="1463"/>
      <c r="N1251" s="1463"/>
      <c r="O1251" s="2567" t="str">
        <f>'Part VIII Scoring Criteria'!AA40</f>
        <v>N/a</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5">
      <c r="A1252" s="2169"/>
      <c r="B1252" s="2170"/>
      <c r="C1252" s="1468"/>
      <c r="D1252" s="1468"/>
      <c r="E1252" s="1468"/>
      <c r="F1252" s="1468"/>
      <c r="G1252" s="1468"/>
      <c r="H1252" s="1468"/>
      <c r="I1252" s="1468"/>
      <c r="J1252" s="2171" t="s">
        <v>1758</v>
      </c>
      <c r="K1252" s="2171"/>
      <c r="L1252" s="1463"/>
      <c r="M1252" s="2171" t="s">
        <v>1758</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5">
      <c r="A1253" s="1733"/>
      <c r="B1253" s="2151" t="s">
        <v>200</v>
      </c>
      <c r="C1253" s="1446" t="s">
        <v>1759</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5">
      <c r="A1254" s="2146"/>
      <c r="B1254" s="2153" t="s">
        <v>208</v>
      </c>
      <c r="C1254" s="1446" t="s">
        <v>1760</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5">
      <c r="A1255" s="1463"/>
      <c r="B1255" s="2151" t="s">
        <v>212</v>
      </c>
      <c r="C1255" s="1446" t="s">
        <v>6976</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5">
      <c r="A1256" s="1463"/>
      <c r="B1256" s="2151" t="s">
        <v>252</v>
      </c>
      <c r="C1256" s="1446" t="s">
        <v>1762</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5">
      <c r="A1257" s="2146"/>
      <c r="B1257" s="2153" t="s">
        <v>254</v>
      </c>
      <c r="C1257" s="1446" t="s">
        <v>1763</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5">
      <c r="A1258" s="1733"/>
      <c r="B1258" s="2151" t="s">
        <v>256</v>
      </c>
      <c r="C1258" s="1446" t="s">
        <v>1764</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5">
      <c r="A1259" s="1463"/>
      <c r="B1259" s="2151" t="s">
        <v>258</v>
      </c>
      <c r="C1259" s="1446" t="s">
        <v>1765</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5">
      <c r="A1260" s="1463"/>
      <c r="B1260" s="2151" t="s">
        <v>260</v>
      </c>
      <c r="C1260" s="1446" t="s">
        <v>1766</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5">
      <c r="A1261" s="2146"/>
      <c r="B1261" s="2151" t="s">
        <v>262</v>
      </c>
      <c r="C1261" s="1446" t="s">
        <v>1767</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5">
      <c r="A1262" s="1463"/>
      <c r="B1262" s="2151" t="s">
        <v>1768</v>
      </c>
      <c r="C1262" s="1446" t="s">
        <v>7608</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5">
      <c r="A1263" s="1463"/>
      <c r="B1263" s="2151" t="s">
        <v>1770</v>
      </c>
      <c r="C1263" s="1446" t="s">
        <v>1769</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5">
      <c r="A1264" s="1463"/>
      <c r="B1264" s="2151" t="s">
        <v>7609</v>
      </c>
      <c r="C1264" s="1446" t="s">
        <v>1771</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5">
      <c r="A1265" s="1463"/>
      <c r="B1265" s="1446"/>
      <c r="C1265" s="1463"/>
      <c r="D1265" s="1463"/>
      <c r="E1265" s="1463"/>
      <c r="F1265" s="1463"/>
      <c r="G1265" s="1463"/>
      <c r="H1265" s="1463"/>
      <c r="I1265" s="1737" t="s">
        <v>1772</v>
      </c>
      <c r="J1265" s="2172" t="e">
        <f>SUM(J1253:K1264)</f>
        <v>#REF!</v>
      </c>
      <c r="K1265" s="2172"/>
      <c r="L1265" s="1463"/>
      <c r="M1265" s="2172">
        <f>SUM($M1253:$M1264)</f>
        <v>0</v>
      </c>
      <c r="N1265" s="2172"/>
      <c r="O1265" s="2172"/>
      <c r="P1265" s="2172"/>
      <c r="Q1265" s="1463"/>
      <c r="R1265" s="1463"/>
      <c r="S1265" s="1463"/>
      <c r="T1265" s="1463"/>
      <c r="U1265" s="1463" t="s">
        <v>1773</v>
      </c>
      <c r="V1265" s="1463"/>
      <c r="W1265" s="1463"/>
      <c r="X1265" s="1463"/>
      <c r="Y1265" s="1463"/>
      <c r="Z1265" s="1463"/>
      <c r="AA1265" s="1463"/>
      <c r="AB1265" s="1463"/>
      <c r="AC1265" s="1463"/>
      <c r="AD1265" s="1463"/>
      <c r="AE1265" s="1463"/>
      <c r="AF1265" s="1463"/>
    </row>
    <row r="1266" spans="1:32" ht="15">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1774</v>
      </c>
      <c r="V1266" s="2173" t="s">
        <v>1722</v>
      </c>
      <c r="W1266" s="2173" t="s">
        <v>1774</v>
      </c>
      <c r="X1266" s="2173" t="s">
        <v>1722</v>
      </c>
      <c r="Y1266" s="2173" t="s">
        <v>1774</v>
      </c>
      <c r="Z1266" s="2173" t="s">
        <v>1722</v>
      </c>
      <c r="AA1266" s="1463"/>
      <c r="AB1266" s="1463"/>
      <c r="AC1266" s="1463"/>
      <c r="AD1266" s="1463"/>
      <c r="AE1266" s="1463"/>
      <c r="AF1266" s="1463"/>
    </row>
    <row r="1267" spans="1:32" ht="15">
      <c r="A1267" s="1446"/>
      <c r="B1267" s="2151"/>
      <c r="C1267" s="1470" t="s">
        <v>1775</v>
      </c>
      <c r="D1267" s="1446"/>
      <c r="E1267" s="1446"/>
      <c r="F1267" s="1463"/>
      <c r="G1267" s="1463"/>
      <c r="H1267" s="1463"/>
      <c r="I1267" s="1733" t="s">
        <v>1776</v>
      </c>
      <c r="J1267" s="2172">
        <f>'Part V-Revenues &amp; Expenses'!$P$76</f>
        <v>60</v>
      </c>
      <c r="K1267" s="2172"/>
      <c r="L1267" s="1445"/>
      <c r="M1267" s="1445"/>
      <c r="N1267" s="1445"/>
      <c r="O1267" s="1463"/>
      <c r="P1267" s="1445"/>
      <c r="Q1267" s="1463"/>
      <c r="R1267" s="2174" t="s">
        <v>1777</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4.25">
      <c r="A1268" s="1463"/>
      <c r="B1268" s="1463"/>
      <c r="C1268" s="1446"/>
      <c r="D1268" s="1446"/>
      <c r="E1268" s="1446"/>
      <c r="F1268" s="1463"/>
      <c r="G1268" s="1463"/>
      <c r="H1268" s="1463"/>
      <c r="I1268" s="2146" t="s">
        <v>1778</v>
      </c>
      <c r="J1268" s="2177" t="e">
        <f>IF(J1267=0,0,J1265/J1267)</f>
        <v>#REF!</v>
      </c>
      <c r="K1268" s="2177"/>
      <c r="L1268" s="1463"/>
      <c r="M1268" s="2177">
        <f>IF(J1267=0,0,M1265/J1267)</f>
        <v>0</v>
      </c>
      <c r="N1268" s="2177"/>
      <c r="O1268" s="2177"/>
      <c r="P1268" s="2177"/>
      <c r="Q1268" s="1463"/>
      <c r="R1268" s="2174" t="s">
        <v>1779</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4.25">
      <c r="A1269" s="1463"/>
      <c r="B1269" s="1463"/>
      <c r="C1269" s="1446"/>
      <c r="D1269" s="1446"/>
      <c r="E1269" s="1446"/>
      <c r="F1269" s="1463"/>
      <c r="G1269" s="1463"/>
      <c r="H1269" s="1463"/>
      <c r="I1269" s="2146" t="s">
        <v>1780</v>
      </c>
      <c r="J1269" s="2172">
        <f>'Part VIII Scoring Criteria'!T57</f>
        <v>0</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1781</v>
      </c>
      <c r="S1269" s="1463"/>
      <c r="T1269" s="1463"/>
      <c r="U1269" s="1446">
        <v>2</v>
      </c>
      <c r="V1269" s="1446"/>
      <c r="W1269" s="1446">
        <v>3</v>
      </c>
      <c r="X1269" s="1446"/>
      <c r="Y1269" s="1446">
        <v>4</v>
      </c>
      <c r="Z1269" s="1446"/>
      <c r="AA1269" s="1463"/>
      <c r="AB1269" s="1463"/>
      <c r="AC1269" s="1463"/>
      <c r="AD1269" s="1463"/>
      <c r="AE1269" s="1463"/>
      <c r="AF1269" s="1463"/>
    </row>
    <row r="1270" spans="1:32" ht="15">
      <c r="A1270" s="1463"/>
      <c r="B1270" s="1463"/>
      <c r="C1270" s="1446"/>
      <c r="D1270" s="1446"/>
      <c r="E1270" s="1446"/>
      <c r="F1270" s="1463"/>
      <c r="G1270" s="1463"/>
      <c r="H1270" s="1463"/>
      <c r="I1270" s="2146" t="s">
        <v>1782</v>
      </c>
      <c r="J1270" s="2178">
        <f>'Part VIII Scoring Criteria'!T58</f>
        <v>0</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1783</v>
      </c>
      <c r="S1270" s="1463"/>
      <c r="T1270" s="1463"/>
      <c r="U1270" s="1446">
        <v>1</v>
      </c>
      <c r="V1270" s="1446"/>
      <c r="W1270" s="1446">
        <v>2</v>
      </c>
      <c r="X1270" s="1446"/>
      <c r="Y1270" s="1446">
        <v>3</v>
      </c>
      <c r="Z1270" s="1446"/>
      <c r="AA1270" s="1463"/>
      <c r="AB1270" s="1463"/>
      <c r="AC1270" s="1463"/>
      <c r="AD1270" s="1463"/>
      <c r="AE1270" s="1463"/>
      <c r="AF1270" s="1463"/>
    </row>
    <row r="1271" spans="1:32" ht="15">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5">
      <c r="A1272" s="2567" t="s">
        <v>197</v>
      </c>
      <c r="B1272" s="1445" t="s">
        <v>1784</v>
      </c>
      <c r="C1272" s="1463"/>
      <c r="D1272" s="1446"/>
      <c r="E1272" s="1463"/>
      <c r="F1272" s="2179" t="s">
        <v>1785</v>
      </c>
      <c r="G1272" s="1463"/>
      <c r="H1272" s="1463"/>
      <c r="I1272" s="1463"/>
      <c r="J1272" s="1463"/>
      <c r="K1272" s="1446"/>
      <c r="L1272" s="2180" t="s">
        <v>1786</v>
      </c>
      <c r="M1272" s="1454">
        <v>1</v>
      </c>
      <c r="N1272" s="1733"/>
      <c r="O1272" s="2141">
        <f>'Part VIII Scoring Criteria'!AA60</f>
        <v>0</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5">
      <c r="A1273" s="2567"/>
      <c r="B1273" s="2151" t="s">
        <v>200</v>
      </c>
      <c r="C1273" s="1465" t="s">
        <v>1787</v>
      </c>
      <c r="D1273" s="1446"/>
      <c r="E1273" s="1446"/>
      <c r="F1273" s="2181" t="s">
        <v>1788</v>
      </c>
      <c r="G1273" s="1446"/>
      <c r="H1273" s="1446"/>
      <c r="I1273" s="2567"/>
      <c r="J1273" s="1465"/>
      <c r="K1273" s="1465"/>
      <c r="L1273" s="2148" t="str">
        <f>IF(OR($O1273=$M1273,$O1273=0,$O1273=""),"","* * Check Score! * *")</f>
        <v/>
      </c>
      <c r="M1273" s="2182">
        <v>0.5</v>
      </c>
      <c r="N1273" s="1733"/>
      <c r="O1273" s="2567">
        <f>'Part VIII Scoring Criteria'!AA61</f>
        <v>0</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5">
      <c r="A1274" s="2567"/>
      <c r="B1274" s="2153" t="s">
        <v>208</v>
      </c>
      <c r="C1274" s="1465" t="s">
        <v>6985</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5">
      <c r="A1275" s="1737"/>
      <c r="B1275" s="2183"/>
      <c r="C1275" s="1469" t="s">
        <v>7604</v>
      </c>
      <c r="D1275" s="1468"/>
      <c r="E1275" s="1468"/>
      <c r="F1275" s="1468"/>
      <c r="G1275" s="1468"/>
      <c r="H1275" s="1468"/>
      <c r="I1275" s="1468"/>
      <c r="J1275" s="1468"/>
      <c r="K1275" s="1468"/>
      <c r="L1275" s="1468"/>
      <c r="M1275" s="1468"/>
      <c r="N1275" s="2184"/>
      <c r="O1275" s="2567">
        <f>'Part VIII Scoring Criteria'!AA63</f>
        <v>0</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5">
      <c r="A1276" s="1737"/>
      <c r="B1276" s="2183"/>
      <c r="C1276" s="1446" t="s">
        <v>7610</v>
      </c>
      <c r="D1276" s="1446"/>
      <c r="E1276" s="1446"/>
      <c r="F1276" s="1446"/>
      <c r="G1276" s="1446"/>
      <c r="H1276" s="1446"/>
      <c r="I1276" s="1446"/>
      <c r="J1276" s="1446"/>
      <c r="K1276" s="1446"/>
      <c r="L1276" s="1463"/>
      <c r="M1276" s="1446"/>
      <c r="N1276" s="2185"/>
      <c r="O1276" s="2567">
        <f>'Part VIII Scoring Criteria'!AA64</f>
        <v>0</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5">
      <c r="A1277" s="1446"/>
      <c r="B1277" s="2142" t="s">
        <v>7607</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5">
      <c r="A1278" s="1469" t="str">
        <f>'Part VIII Scoring Criteria'!A66</f>
        <v>N/A</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5">
      <c r="A1279" s="1446"/>
      <c r="B1279" s="2142" t="s">
        <v>1452</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5">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5">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5">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5">
      <c r="A1283" s="2186" t="s">
        <v>66</v>
      </c>
      <c r="B1283" s="1731" t="s">
        <v>1793</v>
      </c>
      <c r="C1283" s="1446"/>
      <c r="D1283" s="1731"/>
      <c r="E1283" s="1731"/>
      <c r="F1283" s="1446"/>
      <c r="G1283" s="1446"/>
      <c r="H1283" s="1446"/>
      <c r="I1283" s="1446"/>
      <c r="J1283" s="1446"/>
      <c r="K1283" s="2148"/>
      <c r="L1283" s="2146" t="s">
        <v>1743</v>
      </c>
      <c r="M1283" s="2567">
        <v>10</v>
      </c>
      <c r="N1283" s="1454"/>
      <c r="O1283" s="1462">
        <f>'Part VIII Scoring Criteria'!AA71</f>
        <v>10</v>
      </c>
      <c r="P1283" s="1462">
        <f>'Part VIII Scoring Criteria'!AB71</f>
        <v>10</v>
      </c>
      <c r="Q1283" s="2567" t="s">
        <v>1744</v>
      </c>
      <c r="R1283" s="1446"/>
      <c r="S1283" s="1446"/>
      <c r="T1283" s="1446"/>
      <c r="U1283" s="1446"/>
      <c r="V1283" s="1446"/>
      <c r="W1283" s="1446"/>
      <c r="X1283" s="1446"/>
      <c r="Y1283" s="1446"/>
      <c r="Z1283" s="1446"/>
      <c r="AA1283" s="1446"/>
      <c r="AB1283" s="1446"/>
      <c r="AC1283" s="1446"/>
      <c r="AD1283" s="1446"/>
      <c r="AE1283" s="1446"/>
      <c r="AF1283" s="1446"/>
    </row>
    <row r="1284" spans="1:32" ht="15">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5">
      <c r="A1285" s="2186"/>
      <c r="B1285" s="1445" t="s">
        <v>1794</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5">
      <c r="A1286" s="2567" t="s">
        <v>185</v>
      </c>
      <c r="B1286" s="1445" t="s">
        <v>1795</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5">
      <c r="A1287" s="2567"/>
      <c r="B1287" s="2151" t="s">
        <v>200</v>
      </c>
      <c r="C1287" s="1446" t="s">
        <v>1796</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5">
      <c r="A1288" s="2567"/>
      <c r="B1288" s="2153" t="s">
        <v>208</v>
      </c>
      <c r="C1288" s="1446" t="s">
        <v>1797</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5">
      <c r="A1289" s="2567" t="s">
        <v>197</v>
      </c>
      <c r="B1289" s="1445" t="s">
        <v>1798</v>
      </c>
      <c r="C1289" s="1446"/>
      <c r="D1289" s="1731"/>
      <c r="E1289" s="1731"/>
      <c r="F1289" s="1446"/>
      <c r="G1289" s="1446"/>
      <c r="H1289" s="1446"/>
      <c r="I1289" s="1446"/>
      <c r="J1289" s="1446"/>
      <c r="K1289" s="1446"/>
      <c r="L1289" s="2148"/>
      <c r="M1289" s="2567"/>
      <c r="N1289" s="1454"/>
      <c r="O1289" s="2567">
        <f>'Part VIII Scoring Criteria'!AA76</f>
        <v>0</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5">
      <c r="A1290" s="2142"/>
      <c r="B1290" s="2142" t="s">
        <v>1452</v>
      </c>
      <c r="C1290" s="1446"/>
      <c r="D1290" s="2142"/>
      <c r="E1290" s="1465"/>
      <c r="F1290" s="1465"/>
      <c r="G1290" s="1465"/>
      <c r="H1290" s="1465"/>
      <c r="I1290" s="1465"/>
      <c r="J1290" s="1446" t="s">
        <v>1799</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5">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5">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5">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5">
      <c r="A1294" s="2186" t="s">
        <v>68</v>
      </c>
      <c r="B1294" s="1731" t="s">
        <v>1800</v>
      </c>
      <c r="C1294" s="1469"/>
      <c r="D1294" s="1469"/>
      <c r="E1294" s="1469"/>
      <c r="F1294" s="1469"/>
      <c r="G1294" s="2188" t="s">
        <v>1801</v>
      </c>
      <c r="H1294" s="1469"/>
      <c r="I1294" s="1463"/>
      <c r="J1294" s="1463"/>
      <c r="K1294" s="1469"/>
      <c r="L1294" s="2146" t="s">
        <v>1743</v>
      </c>
      <c r="M1294" s="2567">
        <v>5</v>
      </c>
      <c r="N1294" s="1467"/>
      <c r="O1294" s="1462">
        <f>'Part VIII Scoring Criteria'!AA81</f>
        <v>4</v>
      </c>
      <c r="P1294" s="1462">
        <f>'Part VIII Scoring Criteria'!AB81</f>
        <v>2</v>
      </c>
      <c r="Q1294" s="2567" t="s">
        <v>1744</v>
      </c>
      <c r="R1294" s="2150"/>
      <c r="S1294" s="1463"/>
      <c r="T1294" s="1463"/>
      <c r="U1294" s="1463"/>
      <c r="V1294" s="1463"/>
      <c r="W1294" s="1463"/>
      <c r="X1294" s="1463"/>
      <c r="Y1294" s="1463"/>
      <c r="Z1294" s="1463"/>
      <c r="AA1294" s="1463"/>
      <c r="AB1294" s="1463"/>
      <c r="AC1294" s="1463"/>
      <c r="AD1294" s="1463"/>
      <c r="AE1294" s="1463"/>
      <c r="AF1294" s="1463"/>
    </row>
    <row r="1295" spans="1:32" ht="15">
      <c r="A1295" s="2567" t="s">
        <v>185</v>
      </c>
      <c r="B1295" s="1445" t="s">
        <v>1802</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1803</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5">
      <c r="A1297" s="2567"/>
      <c r="B1297" s="2189" t="s">
        <v>200</v>
      </c>
      <c r="C1297" s="1446" t="s">
        <v>1804</v>
      </c>
      <c r="D1297" s="1446"/>
      <c r="E1297" s="1446"/>
      <c r="F1297" s="1446"/>
      <c r="G1297" s="1446"/>
      <c r="H1297" s="1446"/>
      <c r="I1297" s="1446"/>
      <c r="J1297" s="2190" t="s">
        <v>1534</v>
      </c>
      <c r="K1297" s="2190"/>
      <c r="L1297" s="1446"/>
      <c r="M1297" s="2182">
        <v>2</v>
      </c>
      <c r="N1297" s="2187"/>
      <c r="O1297" s="2567">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5">
      <c r="A1298" s="2567"/>
      <c r="B1298" s="2153" t="s">
        <v>208</v>
      </c>
      <c r="C1298" s="1446" t="s">
        <v>1805</v>
      </c>
      <c r="D1298" s="1446"/>
      <c r="E1298" s="1446"/>
      <c r="F1298" s="1446"/>
      <c r="G1298" s="1446"/>
      <c r="H1298" s="1446"/>
      <c r="I1298" s="1468"/>
      <c r="J1298" s="2191" t="s">
        <v>1536</v>
      </c>
      <c r="K1298" s="2192" t="s">
        <v>1806</v>
      </c>
      <c r="L1298" s="2193"/>
      <c r="M1298" s="2182">
        <v>3</v>
      </c>
      <c r="N1298" s="2187"/>
      <c r="O1298" s="2567">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5">
      <c r="A1299" s="1463"/>
      <c r="B1299" s="1463"/>
      <c r="C1299" s="1463" t="s">
        <v>1807</v>
      </c>
      <c r="D1299" s="1463"/>
      <c r="E1299" s="1463"/>
      <c r="F1299" s="1463"/>
      <c r="G1299" s="1463"/>
      <c r="H1299" s="2146"/>
      <c r="I1299" s="1463"/>
      <c r="J1299" s="2569">
        <f>'Part VIII Scoring Criteria'!K86</f>
        <v>0</v>
      </c>
      <c r="K1299" s="2194">
        <v>0.1</v>
      </c>
      <c r="L1299" s="1463"/>
      <c r="M1299" s="1463"/>
      <c r="N1299" s="2146" t="s">
        <v>1808</v>
      </c>
      <c r="O1299" s="2567">
        <f>'Part VIII Scoring Criteria'!AA86</f>
        <v>6</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7611</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5">
      <c r="A1301" s="2567" t="s">
        <v>197</v>
      </c>
      <c r="B1301" s="1445" t="s">
        <v>1810</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5">
      <c r="A1302" s="2567" t="s">
        <v>218</v>
      </c>
      <c r="B1302" s="1445" t="s">
        <v>1811</v>
      </c>
      <c r="C1302" s="1446"/>
      <c r="D1302" s="1446"/>
      <c r="E1302" s="1446"/>
      <c r="F1302" s="1446"/>
      <c r="G1302" s="2173" t="s">
        <v>1812</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5">
      <c r="A1303" s="2186"/>
      <c r="B1303" s="1446"/>
      <c r="C1303" s="1445" t="s">
        <v>1794</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5">
      <c r="A1304" s="2186"/>
      <c r="B1304" s="1446"/>
      <c r="C1304" s="1445" t="s">
        <v>1813</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5">
      <c r="A1305" s="1446"/>
      <c r="B1305" s="2142" t="s">
        <v>7607</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5">
      <c r="A1306" s="1469" t="str">
        <f>'Part VIII Scoring Criteria'!A93</f>
        <v>Applicant commits to meet the requirements of VII. Integrated Supportive Housing, A. Supportive Housing Referrals and is claiming points under Referrals without Project-based Rental Assistance Contract. Property contacts have responded to DCA staff seeking to initiate a PBRA contract within the timeframes communicated. DCA-assisted prospective residents do not face barriers in applying for a unit above those experienced by non-DCA-assisted prospective residents.</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5">
      <c r="A1307" s="1463"/>
      <c r="B1307" s="2160" t="s">
        <v>1452</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5">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5">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5">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5">
      <c r="A1311" s="2186" t="s">
        <v>1481</v>
      </c>
      <c r="B1311" s="1731" t="s">
        <v>1814</v>
      </c>
      <c r="C1311" s="1446"/>
      <c r="D1311" s="1731"/>
      <c r="E1311" s="1731"/>
      <c r="F1311" s="1446"/>
      <c r="G1311" s="1446"/>
      <c r="H1311" s="1446"/>
      <c r="I1311" s="1446"/>
      <c r="J1311" s="1446"/>
      <c r="K1311" s="1446"/>
      <c r="L1311" s="2146" t="s">
        <v>1743</v>
      </c>
      <c r="M1311" s="2567">
        <v>13</v>
      </c>
      <c r="N1311" s="1454"/>
      <c r="O1311" s="1462">
        <f>'Part VIII Scoring Criteria'!AA98</f>
        <v>15</v>
      </c>
      <c r="P1311" s="1462">
        <f>'Part VIII Scoring Criteria'!AB98</f>
        <v>0</v>
      </c>
      <c r="Q1311" s="2567" t="s">
        <v>1744</v>
      </c>
      <c r="R1311" s="2150"/>
      <c r="S1311" s="1446"/>
      <c r="T1311" s="1446"/>
      <c r="U1311" s="1446"/>
      <c r="V1311" s="1446"/>
      <c r="W1311" s="1446"/>
      <c r="X1311" s="1446"/>
      <c r="Y1311" s="1446"/>
      <c r="Z1311" s="1446"/>
      <c r="AA1311" s="1446"/>
      <c r="AB1311" s="1446"/>
      <c r="AC1311" s="1446"/>
      <c r="AD1311" s="1446"/>
      <c r="AE1311" s="1446"/>
      <c r="AF1311" s="1446"/>
    </row>
    <row r="1312" spans="1:32" ht="15">
      <c r="A1312" s="2567" t="s">
        <v>185</v>
      </c>
      <c r="B1312" s="1445" t="s">
        <v>7612</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5">
      <c r="A1313" s="2567"/>
      <c r="B1313" s="1446" t="s">
        <v>7613</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5">
      <c r="A1314" s="2567"/>
      <c r="B1314" s="1446"/>
      <c r="C1314" s="1445" t="s">
        <v>1817</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5">
      <c r="A1315" s="2567"/>
      <c r="B1315" s="2151"/>
      <c r="C1315" s="2150" t="s">
        <v>1818</v>
      </c>
      <c r="D1315" s="1446"/>
      <c r="E1315" s="1446"/>
      <c r="F1315" s="2567"/>
      <c r="G1315" s="1446"/>
      <c r="H1315" s="1446"/>
      <c r="I1315" s="2567"/>
      <c r="J1315" s="1454" t="s">
        <v>1815</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5">
      <c r="A1316" s="2567"/>
      <c r="B1316" s="2152"/>
      <c r="C1316" s="1445"/>
      <c r="D1316" s="1465" t="s">
        <v>1819</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5">
      <c r="A1317" s="2567"/>
      <c r="B1317" s="2152"/>
      <c r="C1317" s="1445"/>
      <c r="D1317" s="1465" t="s">
        <v>1820</v>
      </c>
      <c r="E1317" s="1446"/>
      <c r="F1317" s="2197"/>
      <c r="G1317" s="1446"/>
      <c r="H1317" s="1446"/>
      <c r="I1317" s="2567"/>
      <c r="J1317" s="1454" t="str">
        <f>'Part VIII Scoring Criteria'!T103</f>
        <v>Submitted</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5">
      <c r="A1318" s="2567"/>
      <c r="B1318" s="2152"/>
      <c r="C1318" s="1465" t="s">
        <v>1821</v>
      </c>
      <c r="D1318" s="1445"/>
      <c r="E1318" s="1446"/>
      <c r="F1318" s="2567"/>
      <c r="G1318" s="1446"/>
      <c r="H1318" s="1446"/>
      <c r="I1318" s="2567"/>
      <c r="J1318" s="1454" t="str">
        <f>'Part VIII Scoring Criteria'!T104</f>
        <v>Submitted</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5">
      <c r="A1319" s="2567"/>
      <c r="B1319" s="2152"/>
      <c r="C1319" s="1465" t="s">
        <v>1822</v>
      </c>
      <c r="D1319" s="1445"/>
      <c r="E1319" s="1446"/>
      <c r="F1319" s="2567"/>
      <c r="G1319" s="1446"/>
      <c r="H1319" s="1446"/>
      <c r="I1319" s="2567"/>
      <c r="J1319" s="1454" t="str">
        <f>'Part VIII Scoring Criteria'!T105</f>
        <v>Submitted</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5">
      <c r="A1320" s="2567"/>
      <c r="B1320" s="2151"/>
      <c r="C1320" s="1465" t="s">
        <v>1823</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5">
      <c r="A1321" s="2567"/>
      <c r="B1321" s="2151"/>
      <c r="C1321" s="2150" t="s">
        <v>1824</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5">
      <c r="A1322" s="2567"/>
      <c r="B1322" s="2153"/>
      <c r="C1322" s="1465" t="s">
        <v>1825</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5">
      <c r="A1323" s="2567"/>
      <c r="B1323" s="2153"/>
      <c r="C1323" s="1468" t="s">
        <v>1826</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5">
      <c r="A1324" s="2567"/>
      <c r="B1324" s="2153"/>
      <c r="C1324" s="1465" t="s">
        <v>1827</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5">
      <c r="A1325" s="2567"/>
      <c r="B1325" s="2151"/>
      <c r="C1325" s="1465" t="s">
        <v>1828</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5">
      <c r="A1326" s="2567"/>
      <c r="B1326" s="2153"/>
      <c r="C1326" s="1465" t="s">
        <v>1829</v>
      </c>
      <c r="D1326" s="1446"/>
      <c r="E1326" s="1446"/>
      <c r="F1326" s="2567"/>
      <c r="G1326" s="1446"/>
      <c r="H1326" s="1446"/>
      <c r="I1326" s="2567"/>
      <c r="J1326" s="1454" t="str">
        <f>'Part VIII Scoring Criteria'!T112</f>
        <v>N/A</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5">
      <c r="A1327" s="2567" t="s">
        <v>197</v>
      </c>
      <c r="B1327" s="1445" t="s">
        <v>7614</v>
      </c>
      <c r="C1327" s="1446"/>
      <c r="D1327" s="1446"/>
      <c r="E1327" s="1446"/>
      <c r="F1327" s="2173" t="s">
        <v>7615</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5">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5">
      <c r="A1329" s="1446"/>
      <c r="B1329" s="2142" t="s">
        <v>7607</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5">
      <c r="A1330" s="1469" t="str">
        <f>'Part VIII Scoring Criteria'!A114</f>
        <v>Please see Tab 7 for all rediness to proceed documentation.</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5">
      <c r="A1331" s="2142"/>
      <c r="B1331" s="2142" t="s">
        <v>1452</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5">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5">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5">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5">
      <c r="A1335" s="1730" t="s">
        <v>1485</v>
      </c>
      <c r="B1335" s="1731" t="s">
        <v>1831</v>
      </c>
      <c r="C1335" s="1446"/>
      <c r="D1335" s="1446"/>
      <c r="E1335" s="1446"/>
      <c r="F1335" s="1446"/>
      <c r="G1335" s="1445"/>
      <c r="H1335" s="1446"/>
      <c r="I1335" s="1445"/>
      <c r="J1335" s="2567"/>
      <c r="K1335" s="2201" t="s">
        <v>7616</v>
      </c>
      <c r="L1335" s="2146" t="s">
        <v>1743</v>
      </c>
      <c r="M1335" s="2567">
        <v>3</v>
      </c>
      <c r="N1335" s="1454"/>
      <c r="O1335" s="1462">
        <f>'Part VIII Scoring Criteria'!AA119</f>
        <v>2</v>
      </c>
      <c r="P1335" s="1462">
        <f>'Part VIII Scoring Criteria'!AB119</f>
        <v>0</v>
      </c>
      <c r="Q1335" s="2567" t="s">
        <v>1744</v>
      </c>
      <c r="R1335" s="2567">
        <f>$C$16</f>
        <v>0</v>
      </c>
      <c r="S1335" s="1470"/>
      <c r="T1335" s="1446"/>
      <c r="U1335" s="1446"/>
      <c r="V1335" s="1446"/>
      <c r="W1335" s="1446"/>
      <c r="X1335" s="1446"/>
      <c r="Y1335" s="1446"/>
      <c r="Z1335" s="1446"/>
      <c r="AA1335" s="1446"/>
      <c r="AB1335" s="1446"/>
      <c r="AC1335" s="1446"/>
      <c r="AD1335" s="1446"/>
      <c r="AE1335" s="1446"/>
      <c r="AF1335" s="1446"/>
    </row>
    <row r="1336" spans="1:32" ht="15">
      <c r="A1336" s="2202"/>
      <c r="B1336" s="2203"/>
      <c r="C1336" s="1463"/>
      <c r="D1336" s="1463"/>
      <c r="E1336" s="1446"/>
      <c r="F1336" s="1463" t="s">
        <v>6810</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5">
      <c r="A1337" s="2567" t="s">
        <v>185</v>
      </c>
      <c r="B1337" s="2150" t="s">
        <v>1832</v>
      </c>
      <c r="C1337" s="1446"/>
      <c r="D1337" s="1446"/>
      <c r="E1337" s="1446"/>
      <c r="F1337" s="1446"/>
      <c r="G1337" s="2205"/>
      <c r="H1337" s="1463" t="s">
        <v>630</v>
      </c>
      <c r="I1337" s="1446"/>
      <c r="J1337" s="2161" t="str">
        <f>'Part V-Revenues &amp; Expenses'!$O$62</f>
        <v>Income Averaging</v>
      </c>
      <c r="K1337" s="1446"/>
      <c r="L1337" s="1446"/>
      <c r="M1337" s="2567">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5">
      <c r="A1338" s="2567"/>
      <c r="B1338" s="2151" t="s">
        <v>200</v>
      </c>
      <c r="C1338" s="2206" t="s">
        <v>1833</v>
      </c>
      <c r="D1338" s="1446"/>
      <c r="E1338" s="1446"/>
      <c r="F1338" s="1446"/>
      <c r="G1338" s="1446"/>
      <c r="H1338" s="1446" t="s">
        <v>1834</v>
      </c>
      <c r="I1338" s="1446"/>
      <c r="J1338" s="1446"/>
      <c r="K1338" s="2207">
        <f>'Part V-Revenues &amp; Expenses'!$B$59</f>
        <v>58</v>
      </c>
      <c r="L1338" s="2148" t="str">
        <f t="shared" ref="L1338:L1339" si="450">IF(OR($O1338=$M1338,$O1338=0,$O1338=""),"","* * Check Score! * *")</f>
        <v/>
      </c>
      <c r="M1338" s="1454">
        <v>2</v>
      </c>
      <c r="N1338" s="2152"/>
      <c r="O1338" s="2567">
        <f>'Part VIII Scoring Criteria'!AA121</f>
        <v>2</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5">
      <c r="A1339" s="2567"/>
      <c r="B1339" s="2153" t="s">
        <v>208</v>
      </c>
      <c r="C1339" s="2206" t="s">
        <v>1835</v>
      </c>
      <c r="D1339" s="1446"/>
      <c r="E1339" s="1446"/>
      <c r="F1339" s="1446"/>
      <c r="G1339" s="1446"/>
      <c r="H1339" s="1446"/>
      <c r="I1339" s="1446"/>
      <c r="J1339" s="1446"/>
      <c r="K1339" s="1463"/>
      <c r="L1339" s="2148" t="str">
        <f t="shared" si="450"/>
        <v/>
      </c>
      <c r="M1339" s="1454">
        <v>2</v>
      </c>
      <c r="N1339" s="2152"/>
      <c r="O1339" s="2567">
        <f>'Part VIII Scoring Criteria'!AA122</f>
        <v>0</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5">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5">
      <c r="A1341" s="2567" t="s">
        <v>197</v>
      </c>
      <c r="B1341" s="2150" t="s">
        <v>1836</v>
      </c>
      <c r="C1341" s="1463"/>
      <c r="D1341" s="1463"/>
      <c r="E1341" s="1463"/>
      <c r="F1341" s="1463"/>
      <c r="G1341" s="1463"/>
      <c r="H1341" s="1464" t="s">
        <v>7617</v>
      </c>
      <c r="I1341" s="1446"/>
      <c r="J1341" s="1463"/>
      <c r="K1341" s="2210">
        <f>IF(OR('Part V-Revenues &amp; Expenses'!$P$74="", 'Part V-Revenues &amp; Expenses'!$P$74=0),0,'Part V-Revenues &amp; Expenses'!$P$109/'Part V-Revenues &amp; Expenses'!$P$74)</f>
        <v>0</v>
      </c>
      <c r="L1341" s="1463"/>
      <c r="M1341" s="2567">
        <v>3</v>
      </c>
      <c r="N1341" s="2157"/>
      <c r="O1341" s="2567">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5">
      <c r="A1342" s="1446"/>
      <c r="B1342" s="2142" t="s">
        <v>1452</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5">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5">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5">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5">
      <c r="A1346" s="2186" t="s">
        <v>1487</v>
      </c>
      <c r="B1346" s="1731" t="s">
        <v>1838</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1744</v>
      </c>
      <c r="R1346" s="2567"/>
      <c r="S1346" s="1446"/>
      <c r="T1346" s="1446"/>
      <c r="U1346" s="1446"/>
      <c r="V1346" s="1446"/>
      <c r="W1346" s="1446"/>
      <c r="X1346" s="1446"/>
      <c r="Y1346" s="1446"/>
      <c r="Z1346" s="1446"/>
      <c r="AA1346" s="1446"/>
      <c r="AB1346" s="1446"/>
      <c r="AC1346" s="1446"/>
      <c r="AD1346" s="1446"/>
      <c r="AE1346" s="1446"/>
      <c r="AF1346" s="1446"/>
    </row>
    <row r="1347" spans="1:32" ht="15">
      <c r="A1347" s="1463"/>
      <c r="B1347" s="2212" t="s">
        <v>1839</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5">
      <c r="A1348" s="1446"/>
      <c r="B1348" s="2142" t="s">
        <v>7607</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5">
      <c r="A1349" s="1469" t="str">
        <f>'Part VIII Scoring Criteria'!A131</f>
        <v>Applicant will meet requirements listed under this section of the QAP.</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5">
      <c r="A1350" s="2142"/>
      <c r="B1350" s="2142" t="s">
        <v>1452</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5">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5">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5">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5">
      <c r="A1354" s="1730" t="s">
        <v>1489</v>
      </c>
      <c r="B1354" s="1731" t="s">
        <v>1840</v>
      </c>
      <c r="C1354" s="1463"/>
      <c r="D1354" s="1463"/>
      <c r="E1354" s="1463"/>
      <c r="F1354" s="1463"/>
      <c r="G1354" s="1463"/>
      <c r="H1354" s="1463"/>
      <c r="I1354" s="1463"/>
      <c r="J1354" s="1463"/>
      <c r="K1354" s="1463"/>
      <c r="L1354" s="2146" t="s">
        <v>1743</v>
      </c>
      <c r="M1354" s="2567">
        <v>20</v>
      </c>
      <c r="N1354" s="1733"/>
      <c r="O1354" s="2141">
        <f>'Part VIII Scoring Criteria'!AA136</f>
        <v>20</v>
      </c>
      <c r="P1354" s="2141">
        <f>'Part VIII Scoring Criteria'!AB136</f>
        <v>0</v>
      </c>
      <c r="Q1354" s="2567" t="s">
        <v>1744</v>
      </c>
      <c r="R1354" s="2567">
        <f>$C$16</f>
        <v>0</v>
      </c>
      <c r="S1354" s="1463"/>
      <c r="T1354" s="1463"/>
      <c r="U1354" s="1463"/>
      <c r="V1354" s="1463"/>
      <c r="W1354" s="1463"/>
      <c r="X1354" s="1463"/>
      <c r="Y1354" s="1463"/>
      <c r="Z1354" s="1463"/>
      <c r="AA1354" s="1463"/>
      <c r="AB1354" s="1463"/>
      <c r="AC1354" s="1463"/>
      <c r="AD1354" s="1463"/>
      <c r="AE1354" s="1463"/>
      <c r="AF1354" s="1463"/>
    </row>
    <row r="1355" spans="1:32" ht="15">
      <c r="A1355" s="2567" t="s">
        <v>185</v>
      </c>
      <c r="B1355" s="1445" t="s">
        <v>1841</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5">
      <c r="A1356" s="2567" t="s">
        <v>197</v>
      </c>
      <c r="B1356" s="1445" t="s">
        <v>1842</v>
      </c>
      <c r="C1356" s="1446"/>
      <c r="D1356" s="1446"/>
      <c r="E1356" s="1446"/>
      <c r="F1356" s="1446"/>
      <c r="G1356" s="1446"/>
      <c r="H1356" s="1733"/>
      <c r="I1356" s="1445"/>
      <c r="J1356" s="1445"/>
      <c r="K1356" s="2187"/>
      <c r="L1356" s="1445"/>
      <c r="M1356" s="1454" t="s">
        <v>1843</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5">
      <c r="A1357" s="1446"/>
      <c r="B1357" s="2142" t="s">
        <v>7607</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5">
      <c r="A1358" s="1469" t="str">
        <f>'Part VIII Scoring Criteria'!A140</f>
        <v>Applicant is eligible for all 20 points under Desirable / Undesirable. There are no undesirables.</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5">
      <c r="A1359" s="1446"/>
      <c r="B1359" s="2142" t="s">
        <v>1452</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5">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5">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5">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5">
      <c r="A1363" s="1730" t="s">
        <v>1495</v>
      </c>
      <c r="B1363" s="1731" t="s">
        <v>1844</v>
      </c>
      <c r="C1363" s="1463"/>
      <c r="D1363" s="1463"/>
      <c r="E1363" s="1463"/>
      <c r="F1363" s="1463"/>
      <c r="G1363" s="1463"/>
      <c r="H1363" s="2214"/>
      <c r="I1363" s="2150"/>
      <c r="J1363" s="2567"/>
      <c r="K1363" s="2567"/>
      <c r="L1363" s="2146" t="s">
        <v>1743</v>
      </c>
      <c r="M1363" s="2567">
        <v>6</v>
      </c>
      <c r="N1363" s="1733"/>
      <c r="O1363" s="2141">
        <f>'Part VIII Scoring Criteria'!AA145</f>
        <v>3</v>
      </c>
      <c r="P1363" s="2141">
        <f>'Part VIII Scoring Criteria'!AB145</f>
        <v>0</v>
      </c>
      <c r="Q1363" s="2567" t="s">
        <v>1744</v>
      </c>
      <c r="R1363" s="2567">
        <f>$C$16</f>
        <v>0</v>
      </c>
      <c r="S1363" s="1463"/>
      <c r="T1363" s="1463"/>
      <c r="U1363" s="1463"/>
      <c r="V1363" s="1463"/>
      <c r="W1363" s="1463"/>
      <c r="X1363" s="1463"/>
      <c r="Y1363" s="1463"/>
      <c r="Z1363" s="1463"/>
      <c r="AA1363" s="1463"/>
      <c r="AB1363" s="1463"/>
      <c r="AC1363" s="1463"/>
      <c r="AD1363" s="1463"/>
      <c r="AE1363" s="1463"/>
      <c r="AF1363" s="1463"/>
    </row>
    <row r="1364" spans="1:32" ht="15">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1845</v>
      </c>
      <c r="C1365" s="1463"/>
      <c r="D1365" s="1463"/>
      <c r="E1365" s="1463"/>
      <c r="F1365" s="1446" t="s">
        <v>1846</v>
      </c>
      <c r="G1365" s="1446"/>
      <c r="H1365" s="1446"/>
      <c r="I1365" s="1446"/>
      <c r="J1365" s="1446" t="s">
        <v>1847</v>
      </c>
      <c r="K1365" s="1446"/>
      <c r="L1365" s="1446"/>
      <c r="M1365" s="1446"/>
      <c r="N1365" s="1733"/>
      <c r="O1365" s="2215" t="s">
        <v>1848</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4.25">
      <c r="A1366" s="1463"/>
      <c r="B1366" s="2170"/>
      <c r="C1366" s="1465" t="s">
        <v>1849</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4.25">
      <c r="A1367" s="2170"/>
      <c r="B1367" s="1468"/>
      <c r="C1367" s="1465" t="s">
        <v>1850</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0.01</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4.25">
      <c r="A1368" s="1468"/>
      <c r="B1368" s="1463" t="s">
        <v>7618</v>
      </c>
      <c r="C1368" s="1463"/>
      <c r="D1368" s="1463"/>
      <c r="E1368" s="1463"/>
      <c r="F1368" s="1463" t="s">
        <v>1852</v>
      </c>
      <c r="G1368" s="1446" t="s">
        <v>1853</v>
      </c>
      <c r="H1368" s="1446"/>
      <c r="I1368" s="1446"/>
      <c r="J1368" s="1446" t="s">
        <v>1854</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4.25">
      <c r="A1369" s="1468"/>
      <c r="B1369" s="1465" t="str">
        <f>'Part VIII Scoring Criteria'!B151</f>
        <v>Metro Atlanta Rapid Transit Authority</v>
      </c>
      <c r="C1369" s="1465"/>
      <c r="D1369" s="1465"/>
      <c r="E1369" s="1465"/>
      <c r="F1369" s="2218" t="str">
        <f>'Part VIII Scoring Criteria'!G151</f>
        <v>custserv@itsmarta</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5">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5">
      <c r="A1371" s="2155" t="s">
        <v>185</v>
      </c>
      <c r="B1371" s="1445" t="s">
        <v>1855</v>
      </c>
      <c r="C1371" s="1463"/>
      <c r="D1371" s="1463"/>
      <c r="E1371" s="1463"/>
      <c r="F1371" s="1731"/>
      <c r="G1371" s="1463"/>
      <c r="H1371" s="1463"/>
      <c r="I1371" s="1463"/>
      <c r="J1371" s="1463"/>
      <c r="K1371" s="1463"/>
      <c r="L1371" s="2180" t="s">
        <v>1786</v>
      </c>
      <c r="M1371" s="2567">
        <v>6</v>
      </c>
      <c r="N1371" s="2183"/>
      <c r="O1371" s="2220">
        <f>'Part VIII Scoring Criteria'!AA153</f>
        <v>0</v>
      </c>
      <c r="P1371" s="2220">
        <f>'Part VIII Scoring Criteria'!AB153</f>
        <v>0</v>
      </c>
      <c r="Q1371" s="2567"/>
      <c r="R1371" s="1463"/>
      <c r="S1371" s="2221" t="s">
        <v>1856</v>
      </c>
      <c r="T1371" s="2221" t="s">
        <v>1857</v>
      </c>
      <c r="U1371" s="1463"/>
      <c r="V1371" s="1463"/>
      <c r="W1371" s="1463"/>
      <c r="X1371" s="1463"/>
      <c r="Y1371" s="1463"/>
      <c r="Z1371" s="1463"/>
      <c r="AA1371" s="1463"/>
      <c r="AB1371" s="1463"/>
      <c r="AC1371" s="1463"/>
      <c r="AD1371" s="1463"/>
      <c r="AE1371" s="1463"/>
      <c r="AF1371" s="1463"/>
    </row>
    <row r="1372" spans="1:32" ht="15" customHeight="1">
      <c r="A1372" s="1467"/>
      <c r="B1372" s="2153" t="s">
        <v>200</v>
      </c>
      <c r="C1372" s="1468" t="s">
        <v>7619</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1859</v>
      </c>
      <c r="S1372" s="2121">
        <v>0.25</v>
      </c>
      <c r="T1372" s="2121">
        <v>5</v>
      </c>
      <c r="U1372" s="1468"/>
      <c r="V1372" s="1468"/>
      <c r="W1372" s="1468"/>
      <c r="X1372" s="1468"/>
      <c r="Y1372" s="1468"/>
      <c r="Z1372" s="1468"/>
      <c r="AA1372" s="1468"/>
      <c r="AB1372" s="1468"/>
      <c r="AC1372" s="1468"/>
      <c r="AD1372" s="1468"/>
      <c r="AE1372" s="1468"/>
      <c r="AF1372" s="1468"/>
    </row>
    <row r="1373" spans="1:32" ht="15">
      <c r="A1373" s="2567" t="s">
        <v>326</v>
      </c>
      <c r="B1373" s="2153" t="s">
        <v>208</v>
      </c>
      <c r="C1373" s="1446" t="s">
        <v>7620</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5">
      <c r="A1374" s="2155" t="s">
        <v>197</v>
      </c>
      <c r="B1374" s="2136" t="s">
        <v>1861</v>
      </c>
      <c r="C1374" s="1468"/>
      <c r="D1374" s="1468"/>
      <c r="E1374" s="1468"/>
      <c r="F1374" s="2159"/>
      <c r="G1374" s="1468"/>
      <c r="H1374" s="1446"/>
      <c r="I1374" s="1446"/>
      <c r="J1374" s="1468"/>
      <c r="K1374" s="1468"/>
      <c r="L1374" s="2224"/>
      <c r="M1374" s="2567">
        <v>3</v>
      </c>
      <c r="N1374" s="1733"/>
      <c r="O1374" s="2225">
        <f>'Part VIII Scoring Criteria'!AA156</f>
        <v>3</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5">
      <c r="A1375" s="1730"/>
      <c r="B1375" s="2226" t="s">
        <v>200</v>
      </c>
      <c r="C1375" s="1446" t="s">
        <v>7621</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3</v>
      </c>
      <c r="P1375" s="2213"/>
      <c r="Q1375" s="1463"/>
      <c r="R1375" s="2223" t="s">
        <v>1863</v>
      </c>
      <c r="S1375" s="2121">
        <v>0.25</v>
      </c>
      <c r="T1375" s="2121">
        <v>3</v>
      </c>
      <c r="U1375" s="1468"/>
      <c r="V1375" s="1463"/>
      <c r="W1375" s="1463"/>
      <c r="X1375" s="1463"/>
      <c r="Y1375" s="1463"/>
      <c r="Z1375" s="1463"/>
      <c r="AA1375" s="1463"/>
      <c r="AB1375" s="1463"/>
      <c r="AC1375" s="1463"/>
      <c r="AD1375" s="1463"/>
      <c r="AE1375" s="1463"/>
      <c r="AF1375" s="1463"/>
    </row>
    <row r="1376" spans="1:32" ht="15">
      <c r="A1376" s="2567" t="s">
        <v>326</v>
      </c>
      <c r="B1376" s="2226" t="s">
        <v>208</v>
      </c>
      <c r="C1376" s="1446" t="s">
        <v>7622</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326</v>
      </c>
      <c r="B1377" s="2226" t="s">
        <v>212</v>
      </c>
      <c r="C1377" s="1468" t="s">
        <v>7623</v>
      </c>
      <c r="D1377" s="1468"/>
      <c r="E1377" s="1468"/>
      <c r="F1377" s="1468"/>
      <c r="G1377" s="1468"/>
      <c r="H1377" s="1468"/>
      <c r="I1377" s="1468"/>
      <c r="J1377" s="1468"/>
      <c r="K1377" s="1468"/>
      <c r="L1377" s="2148" t="str">
        <f t="shared" si="452"/>
        <v/>
      </c>
      <c r="M1377" s="1467">
        <v>2</v>
      </c>
      <c r="N1377" s="2184"/>
      <c r="O1377" s="2213">
        <f>'Part VIII Scoring Criteria'!AA159</f>
        <v>0</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5">
      <c r="A1378" s="1446"/>
      <c r="B1378" s="2142" t="s">
        <v>7607</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5">
      <c r="A1379" s="1469" t="str">
        <f>'Part VIII Scoring Criteria'!A161</f>
        <v>There is a MARTA Bus stop within 0.01 miles walking from the entrance to the property. Please see Tab 11 for documentation.</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5">
      <c r="A1380" s="1446"/>
      <c r="B1380" s="2142" t="s">
        <v>1452</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5">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5">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5">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5">
      <c r="A1384" s="1730" t="s">
        <v>1500</v>
      </c>
      <c r="B1384" s="1731" t="s">
        <v>1866</v>
      </c>
      <c r="C1384" s="1469"/>
      <c r="D1384" s="1469"/>
      <c r="E1384" s="1469"/>
      <c r="F1384" s="1463"/>
      <c r="G1384" s="2567"/>
      <c r="H1384" s="2150"/>
      <c r="I1384" s="1463"/>
      <c r="J1384" s="1463"/>
      <c r="K1384" s="1463"/>
      <c r="L1384" s="2146" t="s">
        <v>1743</v>
      </c>
      <c r="M1384" s="2567">
        <v>3</v>
      </c>
      <c r="N1384" s="1467"/>
      <c r="O1384" s="2567">
        <f>'Part VIII Scoring Criteria'!AA166</f>
        <v>1.5</v>
      </c>
      <c r="P1384" s="1739"/>
      <c r="Q1384" s="2147" t="str">
        <f>IF(OR($O1384&lt;=$M1384,$O1384=0,$O1384=""),"","*CHECK!*")</f>
        <v/>
      </c>
      <c r="R1384" s="2150" t="s">
        <v>1744</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7624</v>
      </c>
      <c r="G1385" s="2164" t="s">
        <v>7625</v>
      </c>
      <c r="H1385" s="2164"/>
      <c r="I1385" s="2164" t="s">
        <v>7626</v>
      </c>
      <c r="J1385" s="2164" t="s">
        <v>7627</v>
      </c>
      <c r="K1385" s="2228"/>
      <c r="L1385" s="2164" t="s">
        <v>6866</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5">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5">
      <c r="A1387" s="1463"/>
      <c r="B1387" s="2229" t="s">
        <v>6867</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4.25">
      <c r="A1388" s="1463"/>
      <c r="B1388" s="1465" t="str">
        <f>'Part VIII Scoring Criteria'!E171</f>
        <v>Swint Elementary School</v>
      </c>
      <c r="C1388" s="1465"/>
      <c r="D1388" s="1465"/>
      <c r="E1388" s="1465"/>
      <c r="F1388" s="1465">
        <f>'Part VIII Scoring Criteria'!T171</f>
        <v>6</v>
      </c>
      <c r="G1388" s="1465" t="str">
        <f>'Part VIII Scoring Criteria'!X171</f>
        <v>No</v>
      </c>
      <c r="H1388" s="1465"/>
      <c r="I1388" s="1465" t="str">
        <f>'Part VIII Scoring Criteria'!Z171</f>
        <v>No</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4.25">
      <c r="A1389" s="1463"/>
      <c r="B1389" s="1465" t="str">
        <f>'Part VIII Scoring Criteria'!E172</f>
        <v>Jonesboro Middle School</v>
      </c>
      <c r="C1389" s="1465"/>
      <c r="D1389" s="1465"/>
      <c r="E1389" s="1465"/>
      <c r="F1389" s="1465">
        <f>'Part VIII Scoring Criteria'!T172</f>
        <v>3</v>
      </c>
      <c r="G1389" s="1465" t="str">
        <f>'Part VIII Scoring Criteria'!X172</f>
        <v>No</v>
      </c>
      <c r="H1389" s="1465"/>
      <c r="I1389" s="1465" t="str">
        <f>'Part VIII Scoring Criteria'!Z172</f>
        <v>Yes</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4.25">
      <c r="A1390" s="1463"/>
      <c r="B1390" s="1465" t="str">
        <f>'Part VIII Scoring Criteria'!E173</f>
        <v>Jonesboro High School</v>
      </c>
      <c r="C1390" s="1465"/>
      <c r="D1390" s="1465"/>
      <c r="E1390" s="1465"/>
      <c r="F1390" s="1465">
        <f>'Part VIII Scoring Criteria'!T173</f>
        <v>4</v>
      </c>
      <c r="G1390" s="1465" t="str">
        <f>'Part VIII Scoring Criteria'!X173</f>
        <v>No</v>
      </c>
      <c r="H1390" s="1465"/>
      <c r="I1390" s="1465" t="str">
        <f>'Part VIII Scoring Criteria'!Z173</f>
        <v>Yes</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4.25">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4.25">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4.25">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5">
      <c r="A1394" s="1446"/>
      <c r="B1394" s="2142" t="s">
        <v>7607</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5">
      <c r="A1395" s="1469" t="str">
        <f>'Part VIII Scoring Criteria'!A178</f>
        <v>Jonesboro Middle School and Jonesboro High School have received 2024 and 2025 BTO designation. See Tab 12 for attendance zone documentation.</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5">
      <c r="A1396" s="1446"/>
      <c r="B1396" s="2160" t="s">
        <v>1452</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5">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5">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5">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5">
      <c r="A1400" s="1730" t="s">
        <v>1516</v>
      </c>
      <c r="B1400" s="1731" t="s">
        <v>1880</v>
      </c>
      <c r="C1400" s="1446"/>
      <c r="D1400" s="1731"/>
      <c r="E1400" s="1731"/>
      <c r="F1400" s="1446"/>
      <c r="G1400" s="1446"/>
      <c r="H1400" s="1446"/>
      <c r="I1400" s="1446"/>
      <c r="J1400" s="1446"/>
      <c r="K1400" s="2180"/>
      <c r="L1400" s="2146" t="s">
        <v>1743</v>
      </c>
      <c r="M1400" s="2567">
        <v>10</v>
      </c>
      <c r="N1400" s="1454"/>
      <c r="O1400" s="2141">
        <f>'Part VIII Scoring Criteria'!AA183</f>
        <v>0</v>
      </c>
      <c r="P1400" s="2141">
        <f>'Part VIII Scoring Criteria'!AB183</f>
        <v>0</v>
      </c>
      <c r="Q1400" s="2567" t="s">
        <v>1744</v>
      </c>
      <c r="R1400" s="2231" t="s">
        <v>1881</v>
      </c>
      <c r="S1400" s="1445"/>
      <c r="T1400" s="1445"/>
      <c r="U1400" s="1445"/>
      <c r="V1400" s="2227">
        <f>$H$15</f>
        <v>0</v>
      </c>
      <c r="W1400" s="1446"/>
      <c r="X1400" s="1446"/>
      <c r="Y1400" s="1446"/>
      <c r="Z1400" s="1446"/>
      <c r="AA1400" s="1446"/>
      <c r="AB1400" s="1446"/>
      <c r="AC1400" s="1446"/>
      <c r="AD1400" s="1446"/>
      <c r="AE1400" s="1446"/>
      <c r="AF1400" s="1446"/>
    </row>
    <row r="1401" spans="1:32" ht="15">
      <c r="A1401" s="1730"/>
      <c r="B1401" s="1731"/>
      <c r="C1401" s="1446"/>
      <c r="D1401" s="1731"/>
      <c r="E1401" s="1731"/>
      <c r="F1401" s="1465" t="s">
        <v>7628</v>
      </c>
      <c r="G1401" s="1446"/>
      <c r="H1401" s="1446"/>
      <c r="I1401" s="1446"/>
      <c r="J1401" s="1446"/>
      <c r="K1401" s="1446"/>
      <c r="L1401" s="1737"/>
      <c r="M1401" s="2567"/>
      <c r="N1401" s="1454"/>
      <c r="O1401" s="1462">
        <f>MIN(O1406+O1416+O1423,M1400)</f>
        <v>0</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5">
      <c r="A1402" s="2567"/>
      <c r="B1402" s="1446" t="s">
        <v>7629</v>
      </c>
      <c r="C1402" s="1463"/>
      <c r="D1402" s="1445"/>
      <c r="E1402" s="1445"/>
      <c r="F1402" s="1445"/>
      <c r="G1402" s="1445"/>
      <c r="H1402" s="1445"/>
      <c r="I1402" s="1445"/>
      <c r="J1402" s="1445"/>
      <c r="K1402" s="1445"/>
      <c r="L1402" s="1445"/>
      <c r="M1402" s="1463"/>
      <c r="N1402" s="2568"/>
      <c r="O1402" s="2569"/>
      <c r="P1402" s="2569"/>
      <c r="Q1402" s="2147" t="str">
        <f>IF(OR($O1407=$M1407,$O1407=0,$O1407=""),"","*CHECK!*")</f>
        <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1883</v>
      </c>
      <c r="D1403" s="1468"/>
      <c r="E1403" s="1468"/>
      <c r="F1403" s="1468"/>
      <c r="G1403" s="1468"/>
      <c r="H1403" s="1468"/>
      <c r="I1403" s="1468"/>
      <c r="J1403" s="1468"/>
      <c r="K1403" s="1468"/>
      <c r="L1403" s="2157"/>
      <c r="M1403" s="1463"/>
      <c r="N1403" s="1465" t="str">
        <f>'Part VIII Scoring Criteria'!Z185</f>
        <v>&lt;Page # from Plan&gt;</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1885</v>
      </c>
      <c r="D1404" s="1446"/>
      <c r="E1404" s="1446"/>
      <c r="F1404" s="1446"/>
      <c r="G1404" s="1446"/>
      <c r="H1404" s="1446"/>
      <c r="I1404" s="1446"/>
      <c r="J1404" s="1446"/>
      <c r="K1404" s="1446"/>
      <c r="L1404" s="1733"/>
      <c r="M1404" s="1446"/>
      <c r="N1404" s="1465" t="str">
        <f>'Part VIII Scoring Criteria'!Z186</f>
        <v>&lt;Page # from Plan&gt;</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7630</v>
      </c>
      <c r="D1405" s="1446"/>
      <c r="E1405" s="1446"/>
      <c r="F1405" s="1446"/>
      <c r="G1405" s="1446"/>
      <c r="H1405" s="1446"/>
      <c r="I1405" s="1446"/>
      <c r="J1405" s="1446"/>
      <c r="K1405" s="1446"/>
      <c r="L1405" s="1733"/>
      <c r="M1405" s="1446"/>
      <c r="N1405" s="1465" t="str">
        <f>'Part VIII Scoring Criteria'!Z189</f>
        <v>&lt;Page # from Plan&gt;</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5">
      <c r="A1406" s="2567" t="s">
        <v>185</v>
      </c>
      <c r="B1406" s="2150" t="s">
        <v>1889</v>
      </c>
      <c r="C1406" s="1446"/>
      <c r="D1406" s="1446"/>
      <c r="E1406" s="1446"/>
      <c r="F1406" s="1446"/>
      <c r="G1406" s="1446"/>
      <c r="H1406" s="1446"/>
      <c r="I1406" s="1446"/>
      <c r="J1406" s="1446"/>
      <c r="K1406" s="1446"/>
      <c r="L1406" s="2180" t="s">
        <v>1743</v>
      </c>
      <c r="M1406" s="2567">
        <v>6</v>
      </c>
      <c r="N1406" s="1446"/>
      <c r="O1406" s="2232">
        <f>'Part VIII Scoring Criteria'!AA190</f>
        <v>0</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5">
      <c r="A1407" s="2569"/>
      <c r="B1407" s="2150" t="s">
        <v>1890</v>
      </c>
      <c r="C1407" s="1463"/>
      <c r="D1407" s="1468"/>
      <c r="E1407" s="1468"/>
      <c r="F1407" s="1468"/>
      <c r="G1407" s="1468"/>
      <c r="H1407" s="1468"/>
      <c r="I1407" s="1468"/>
      <c r="J1407" s="1463"/>
      <c r="K1407" s="1454"/>
      <c r="L1407" s="2148" t="str">
        <f t="shared" ref="L1407:L1408" si="453">IF(OR($O1407=$M1407,$O1407=0,$O1407=""),"","* * Check Score! * *")</f>
        <v/>
      </c>
      <c r="M1407" s="1454">
        <v>2</v>
      </c>
      <c r="N1407" s="2157"/>
      <c r="O1407" s="2567">
        <f>'Part VIII Scoring Criteria'!AA191</f>
        <v>0</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5">
      <c r="A1408" s="2567"/>
      <c r="B1408" s="1463" t="s">
        <v>7631</v>
      </c>
      <c r="C1408" s="1463"/>
      <c r="D1408" s="2136"/>
      <c r="E1408" s="2136"/>
      <c r="F1408" s="2136"/>
      <c r="G1408" s="2136"/>
      <c r="H1408" s="2136"/>
      <c r="I1408" s="2136"/>
      <c r="J1408" s="2136"/>
      <c r="K1408" s="2136"/>
      <c r="L1408" s="2148" t="str">
        <f t="shared" si="453"/>
        <v/>
      </c>
      <c r="M1408" s="1454">
        <v>1</v>
      </c>
      <c r="N1408" s="1733"/>
      <c r="O1408" s="2567">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5">
      <c r="A1409" s="2569"/>
      <c r="B1409" s="2150" t="s">
        <v>1892</v>
      </c>
      <c r="C1409" s="1463"/>
      <c r="D1409" s="1468"/>
      <c r="E1409" s="1468"/>
      <c r="F1409" s="1468"/>
      <c r="G1409" s="1468"/>
      <c r="H1409" s="1468"/>
      <c r="I1409" s="1468"/>
      <c r="J1409" s="1463"/>
      <c r="K1409" s="1454"/>
      <c r="L1409" s="2180" t="s">
        <v>1743</v>
      </c>
      <c r="M1409" s="1454">
        <v>3</v>
      </c>
      <c r="N1409" s="1463"/>
      <c r="O1409" s="2196">
        <f>'Part VIII Scoring Criteria'!AA193</f>
        <v>0</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4.25">
      <c r="A1410" s="1454"/>
      <c r="B1410" s="2152"/>
      <c r="C1410" s="1469" t="s">
        <v>1893</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5">
      <c r="A1411" s="2567"/>
      <c r="B1411" s="1463"/>
      <c r="C1411" s="2146"/>
      <c r="D1411" s="1468" t="s">
        <v>1894</v>
      </c>
      <c r="E1411" s="1468"/>
      <c r="F1411" s="1468"/>
      <c r="G1411" s="1468"/>
      <c r="H1411" s="1468"/>
      <c r="I1411" s="1468"/>
      <c r="J1411" s="1468"/>
      <c r="K1411" s="1468"/>
      <c r="L1411" s="1468"/>
      <c r="M1411" s="1467"/>
      <c r="N1411" s="2157"/>
      <c r="O1411" s="2567">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5">
      <c r="A1412" s="2567"/>
      <c r="B1412" s="1463"/>
      <c r="C1412" s="2146"/>
      <c r="D1412" s="1468" t="s">
        <v>1895</v>
      </c>
      <c r="E1412" s="1468"/>
      <c r="F1412" s="1468"/>
      <c r="G1412" s="1468"/>
      <c r="H1412" s="1468"/>
      <c r="I1412" s="1468"/>
      <c r="J1412" s="1468"/>
      <c r="K1412" s="1468"/>
      <c r="L1412" s="1468"/>
      <c r="M1412" s="1467"/>
      <c r="N1412" s="2157"/>
      <c r="O1412" s="2567">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5">
      <c r="A1413" s="2567"/>
      <c r="B1413" s="2152"/>
      <c r="C1413" s="2146"/>
      <c r="D1413" s="1468" t="s">
        <v>1896</v>
      </c>
      <c r="E1413" s="1468"/>
      <c r="F1413" s="1468"/>
      <c r="G1413" s="1468"/>
      <c r="H1413" s="1468"/>
      <c r="I1413" s="1468"/>
      <c r="J1413" s="1468"/>
      <c r="K1413" s="1468"/>
      <c r="L1413" s="1468"/>
      <c r="M1413" s="1467"/>
      <c r="N1413" s="2157"/>
      <c r="O1413" s="2567">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5">
      <c r="A1414" s="1454"/>
      <c r="B1414" s="1463"/>
      <c r="C1414" s="1469" t="s">
        <v>1897</v>
      </c>
      <c r="D1414" s="1463"/>
      <c r="E1414" s="1469"/>
      <c r="F1414" s="1469"/>
      <c r="G1414" s="1469"/>
      <c r="H1414" s="1469"/>
      <c r="I1414" s="1469"/>
      <c r="J1414" s="1469"/>
      <c r="K1414" s="1469"/>
      <c r="L1414" s="2148" t="str">
        <f t="shared" ref="L1414:L1415" si="454">IF(OR($O1414=$M1414,$O1414=0,$O1414=""),"","* * Check Score! * *")</f>
        <v/>
      </c>
      <c r="M1414" s="1454">
        <v>1</v>
      </c>
      <c r="N1414" s="1467"/>
      <c r="O1414" s="2567">
        <f>'Part VIII Scoring Criteria'!AA198</f>
        <v>0</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5">
      <c r="A1415" s="1454"/>
      <c r="B1415" s="1463"/>
      <c r="C1415" s="1469" t="s">
        <v>7632</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5">
      <c r="A1416" s="2567" t="s">
        <v>197</v>
      </c>
      <c r="B1416" s="1445" t="s">
        <v>1898</v>
      </c>
      <c r="C1416" s="1469"/>
      <c r="D1416" s="1469"/>
      <c r="E1416" s="1469"/>
      <c r="F1416" s="1469"/>
      <c r="G1416" s="1469"/>
      <c r="H1416" s="1469"/>
      <c r="I1416" s="1469"/>
      <c r="J1416" s="1469"/>
      <c r="K1416" s="1469"/>
      <c r="L1416" s="2180" t="s">
        <v>1743</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5">
      <c r="A1417" s="2567"/>
      <c r="B1417" s="1446" t="s">
        <v>1899</v>
      </c>
      <c r="C1417" s="1469"/>
      <c r="D1417" s="1469"/>
      <c r="E1417" s="1469"/>
      <c r="F1417" s="1469"/>
      <c r="G1417" s="1469"/>
      <c r="H1417" s="1469"/>
      <c r="I1417" s="1469"/>
      <c r="J1417" s="1469"/>
      <c r="K1417" s="1469"/>
      <c r="L1417" s="2180"/>
      <c r="M1417" s="2567"/>
      <c r="N1417" s="1467"/>
      <c r="O1417" s="2567">
        <f>'Part VIII Scoring Criteria'!AA200</f>
        <v>0</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5">
      <c r="A1418" s="1730"/>
      <c r="B1418" s="2233" t="s">
        <v>200</v>
      </c>
      <c r="C1418" s="1469" t="s">
        <v>1900</v>
      </c>
      <c r="D1418" s="1469"/>
      <c r="E1418" s="1469"/>
      <c r="F1418" s="1469"/>
      <c r="G1418" s="1469"/>
      <c r="H1418" s="1469"/>
      <c r="I1418" s="1463"/>
      <c r="J1418" s="1463"/>
      <c r="K1418" s="1463"/>
      <c r="L1418" s="2180" t="s">
        <v>1743</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5">
      <c r="A1419" s="1463"/>
      <c r="B1419" s="2152" t="s">
        <v>202</v>
      </c>
      <c r="C1419" s="1463" t="s">
        <v>1901</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5">
      <c r="A1420" s="1463"/>
      <c r="B1420" s="2152" t="s">
        <v>205</v>
      </c>
      <c r="C1420" s="1463" t="s">
        <v>1902</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5">
      <c r="A1421" s="1463"/>
      <c r="B1421" s="2152" t="s">
        <v>207</v>
      </c>
      <c r="C1421" s="1463" t="s">
        <v>7633</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5">
      <c r="A1422" s="1730"/>
      <c r="B1422" s="2151" t="s">
        <v>208</v>
      </c>
      <c r="C1422" s="1446" t="s">
        <v>1904</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5">
      <c r="A1423" s="2567" t="s">
        <v>218</v>
      </c>
      <c r="B1423" s="1445" t="s">
        <v>1905</v>
      </c>
      <c r="C1423" s="1463"/>
      <c r="D1423" s="1446"/>
      <c r="E1423" s="1463"/>
      <c r="F1423" s="2235"/>
      <c r="G1423" s="1463"/>
      <c r="H1423" s="1463"/>
      <c r="I1423" s="1463"/>
      <c r="J1423" s="1463"/>
      <c r="K1423" s="1737"/>
      <c r="L1423" s="2180" t="s">
        <v>1743</v>
      </c>
      <c r="M1423" s="2567">
        <v>3</v>
      </c>
      <c r="N1423" s="1733"/>
      <c r="O1423" s="2141">
        <f>'Part VIII Scoring Criteria'!AA206</f>
        <v>0</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5">
      <c r="A1424" s="1446"/>
      <c r="B1424" s="2233" t="s">
        <v>200</v>
      </c>
      <c r="C1424" s="1469" t="s">
        <v>1906</v>
      </c>
      <c r="D1424" s="1469"/>
      <c r="E1424" s="1469"/>
      <c r="F1424" s="1469"/>
      <c r="G1424" s="1469"/>
      <c r="H1424" s="1469"/>
      <c r="I1424" s="1469"/>
      <c r="J1424" s="1469"/>
      <c r="K1424" s="1469"/>
      <c r="L1424" s="2180" t="s">
        <v>1743</v>
      </c>
      <c r="M1424" s="1467">
        <v>2</v>
      </c>
      <c r="N1424" s="1467"/>
      <c r="O1424" s="2213">
        <f>'Part VIII Scoring Criteria'!AA207</f>
        <v>0</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5">
      <c r="A1425" s="1446"/>
      <c r="B1425" s="2151" t="s">
        <v>208</v>
      </c>
      <c r="C1425" s="1469" t="s">
        <v>1907</v>
      </c>
      <c r="D1425" s="1469"/>
      <c r="E1425" s="1469"/>
      <c r="F1425" s="1469"/>
      <c r="G1425" s="1469"/>
      <c r="H1425" s="1469"/>
      <c r="I1425" s="1469"/>
      <c r="J1425" s="1469"/>
      <c r="K1425" s="1469"/>
      <c r="L1425" s="1469"/>
      <c r="M1425" s="1467">
        <v>1</v>
      </c>
      <c r="N1425" s="1467"/>
      <c r="O1425" s="2213">
        <f>'Part VIII Scoring Criteria'!AA208</f>
        <v>0</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5">
      <c r="A1426" s="1446"/>
      <c r="B1426" s="2142" t="s">
        <v>7607</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5">
      <c r="A1427" s="1469" t="str">
        <f>'Part VIII Scoring Criteria'!A210</f>
        <v>N/A</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5">
      <c r="A1428" s="1446"/>
      <c r="B1428" s="2142" t="s">
        <v>1452</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5">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5">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5">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5">
      <c r="A1432" s="1730" t="s">
        <v>1520</v>
      </c>
      <c r="B1432" s="1731" t="s">
        <v>1908</v>
      </c>
      <c r="C1432" s="1446"/>
      <c r="D1432" s="1731"/>
      <c r="E1432" s="1731"/>
      <c r="F1432" s="1465" t="s">
        <v>46</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0</v>
      </c>
      <c r="P1432" s="1462">
        <f>'Part VIII Scoring Criteria'!AB215</f>
        <v>0</v>
      </c>
      <c r="Q1432" s="2567" t="s">
        <v>1744</v>
      </c>
      <c r="R1432" s="2231" t="s">
        <v>1881</v>
      </c>
      <c r="S1432" s="1445"/>
      <c r="T1432" s="1445"/>
      <c r="U1432" s="1445"/>
      <c r="V1432" s="2227" t="str">
        <f>'Part VIII Scoring Criteria'!AH215</f>
        <v>Housing Needs Characteristics + Stable Communities Characteristics</v>
      </c>
      <c r="W1432" s="1463"/>
      <c r="X1432" s="1463"/>
      <c r="Y1432" s="1446"/>
      <c r="Z1432" s="1446"/>
      <c r="AA1432" s="1446"/>
      <c r="AB1432" s="1446"/>
      <c r="AC1432" s="1446"/>
      <c r="AD1432" s="1446"/>
      <c r="AE1432" s="1446"/>
      <c r="AF1432" s="1446"/>
    </row>
    <row r="1433" spans="1:32" ht="15">
      <c r="A1433" s="1730"/>
      <c r="B1433" s="1731"/>
      <c r="C1433" s="1446"/>
      <c r="D1433" s="1731"/>
      <c r="E1433" s="1731"/>
      <c r="F1433" s="1465" t="s">
        <v>7628</v>
      </c>
      <c r="G1433" s="1446"/>
      <c r="H1433" s="1446"/>
      <c r="I1433" s="1446"/>
      <c r="J1433" s="1446"/>
      <c r="K1433" s="1446"/>
      <c r="L1433" s="1737"/>
      <c r="M1433" s="2567"/>
      <c r="N1433" s="1454"/>
      <c r="O1433" s="1462">
        <f>MAX(J1445,O1432)</f>
        <v>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5">
      <c r="A1434" s="1730"/>
      <c r="B1434" s="1445" t="s">
        <v>1909</v>
      </c>
      <c r="C1434" s="1446"/>
      <c r="D1434" s="1731"/>
      <c r="E1434" s="1446"/>
      <c r="F1434" s="1446"/>
      <c r="G1434" s="1446"/>
      <c r="H1434" s="1446"/>
      <c r="I1434" s="1446"/>
      <c r="J1434" s="2567" t="s">
        <v>1730</v>
      </c>
      <c r="K1434" s="2236" t="s">
        <v>1724</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5">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5">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5">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5">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5">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5">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5">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5">
      <c r="A1443" s="1730"/>
      <c r="B1443" s="1446"/>
      <c r="C1443" s="1465" t="s">
        <v>7634</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5">
      <c r="A1444" s="1730"/>
      <c r="B1444" s="1446"/>
      <c r="C1444" s="1465" t="s">
        <v>7635</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5">
      <c r="A1445" s="1730"/>
      <c r="B1445" s="1446"/>
      <c r="C1445" s="1465" t="s">
        <v>1912</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5">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7636</v>
      </c>
      <c r="C1447" s="2136"/>
      <c r="D1447" s="2171"/>
      <c r="E1447" s="1446"/>
      <c r="F1447" s="2171" t="s">
        <v>7637</v>
      </c>
      <c r="G1447" s="2171"/>
      <c r="H1447" s="2238" t="s">
        <v>7638</v>
      </c>
      <c r="I1447" s="2171" t="s">
        <v>7639</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5">
      <c r="A1448" s="1730"/>
      <c r="B1448" s="1446"/>
      <c r="C1448" s="1446" t="s">
        <v>7640</v>
      </c>
      <c r="D1448" s="2171"/>
      <c r="E1448" s="1446"/>
      <c r="F1448" s="1465" t="str">
        <f>'Part VIII Scoring Criteria'!E222</f>
        <v>Yes</v>
      </c>
      <c r="G1448" s="2239"/>
      <c r="H1448" s="2240"/>
      <c r="I1448" s="1465">
        <f>'Part VIII Scoring Criteria'!I222</f>
        <v>0</v>
      </c>
      <c r="J1448" s="2241"/>
      <c r="K1448" s="2241"/>
      <c r="L1448" s="2241"/>
      <c r="M1448" s="1465" t="str">
        <f>'Part VIII Scoring Criteria'!Y222</f>
        <v>13063040629</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25">
      <c r="A1449" s="1730"/>
      <c r="B1449" s="1446"/>
      <c r="C1449" s="1446" t="s">
        <v>7641</v>
      </c>
      <c r="D1449" s="2171"/>
      <c r="E1449" s="1446"/>
      <c r="F1449" s="1465" t="str">
        <f>'Part VIII Scoring Criteria'!E223</f>
        <v>No</v>
      </c>
      <c r="G1449" s="2240"/>
      <c r="H1449" s="2240"/>
      <c r="I1449" s="1465">
        <f>'Part VIII Scoring Criteria'!I223</f>
        <v>0</v>
      </c>
      <c r="J1449" s="2241"/>
      <c r="K1449" s="2241"/>
      <c r="L1449" s="2241"/>
      <c r="M1449" s="1465" t="str">
        <f>'Part VIII Scoring Criteria'!Y223</f>
        <v>13063040629</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25">
      <c r="A1450" s="1730"/>
      <c r="B1450" s="1446"/>
      <c r="C1450" s="1446" t="s">
        <v>7642</v>
      </c>
      <c r="D1450" s="2171"/>
      <c r="E1450" s="1446"/>
      <c r="F1450" s="1465" t="str">
        <f>'Part VIII Scoring Criteria'!E224</f>
        <v>Yes</v>
      </c>
      <c r="G1450" s="2240"/>
      <c r="H1450" s="2240"/>
      <c r="I1450" s="1465">
        <f>'Part VIII Scoring Criteria'!I224</f>
        <v>0</v>
      </c>
      <c r="J1450" s="2241"/>
      <c r="K1450" s="2241"/>
      <c r="L1450" s="2241"/>
      <c r="M1450" s="1465" t="str">
        <f>'Part VIII Scoring Criteria'!Y224</f>
        <v>13063040629</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25">
      <c r="A1451" s="1730"/>
      <c r="B1451" s="1446"/>
      <c r="C1451" s="1446" t="s">
        <v>7643</v>
      </c>
      <c r="D1451" s="1731"/>
      <c r="E1451" s="1446"/>
      <c r="F1451" s="1465" t="str">
        <f>'Part VIII Scoring Criteria'!E225</f>
        <v>No</v>
      </c>
      <c r="G1451" s="2240"/>
      <c r="H1451" s="1465">
        <f>'Part VIII Scoring Criteria'!M225</f>
        <v>2023</v>
      </c>
      <c r="I1451" s="1465">
        <f>'Part VIII Scoring Criteria'!I225</f>
        <v>0</v>
      </c>
      <c r="J1451" s="2241"/>
      <c r="K1451" s="2241"/>
      <c r="L1451" s="2241"/>
      <c r="M1451" s="1465" t="str">
        <f>'Part VIII Scoring Criteria'!Y225</f>
        <v>13063040629</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5">
      <c r="A1452" s="1730"/>
      <c r="B1452" s="1446"/>
      <c r="C1452" s="1446" t="s">
        <v>1921</v>
      </c>
      <c r="D1452" s="1731"/>
      <c r="E1452" s="1446"/>
      <c r="F1452" s="1465" t="str">
        <f>'Part VIII Scoring Criteria'!E226</f>
        <v>No</v>
      </c>
      <c r="G1452" s="2240"/>
      <c r="H1452" s="1465">
        <f>'Part VIII Scoring Criteria'!M226</f>
        <v>2023</v>
      </c>
      <c r="I1452" s="1465">
        <f>'Part VIII Scoring Criteria'!I226</f>
        <v>0</v>
      </c>
      <c r="J1452" s="2241"/>
      <c r="K1452" s="2241"/>
      <c r="L1452" s="2241"/>
      <c r="M1452" s="1465" t="str">
        <f>'Part VIII Scoring Criteria'!Y226</f>
        <v>13063040629</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5">
      <c r="A1453" s="1446"/>
      <c r="B1453" s="2142" t="s">
        <v>7607</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5">
      <c r="A1454" s="1469" t="str">
        <f>'Part VIII Scoring Criteria'!A228</f>
        <v>The site is located within census tract 13063040629 and is eleigible for 6 points under stable communities.</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5">
      <c r="A1455" s="1446"/>
      <c r="B1455" s="2160" t="s">
        <v>1452</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5">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5">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5">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5">
      <c r="A1459" s="1730" t="s">
        <v>1522</v>
      </c>
      <c r="B1459" s="1731" t="s">
        <v>1928</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1744</v>
      </c>
      <c r="R1459" s="2231" t="s">
        <v>1881</v>
      </c>
      <c r="S1459" s="1445"/>
      <c r="T1459" s="1445"/>
      <c r="U1459" s="1445"/>
      <c r="V1459" s="2227" t="str">
        <f>'Part VIII Scoring Criteria'!AH247</f>
        <v>Housing Needs Characteristics + Stable Communities Characteristics</v>
      </c>
      <c r="W1459" s="1446"/>
      <c r="X1459" s="1446"/>
      <c r="Y1459" s="1446"/>
      <c r="Z1459" s="1446"/>
      <c r="AA1459" s="1446"/>
      <c r="AB1459" s="1446"/>
      <c r="AC1459" s="1446"/>
      <c r="AD1459" s="1446"/>
      <c r="AE1459" s="1446"/>
      <c r="AF1459" s="1446"/>
    </row>
    <row r="1460" spans="1:32" ht="15">
      <c r="A1460" s="2567" t="s">
        <v>185</v>
      </c>
      <c r="B1460" s="2166" t="s">
        <v>1929</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5">
      <c r="A1461" s="2567" t="s">
        <v>197</v>
      </c>
      <c r="B1461" s="2166" t="s">
        <v>1930</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5">
      <c r="A1462" s="1446"/>
      <c r="B1462" s="2142" t="s">
        <v>7607</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5">
      <c r="A1463" s="1469" t="str">
        <f>'Part VIII Scoring Criteria'!A251</f>
        <v>N/A</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5">
      <c r="A1464" s="1446"/>
      <c r="B1464" s="2160" t="s">
        <v>1452</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5">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5">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5">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5">
      <c r="A1468" s="1730" t="s">
        <v>1528</v>
      </c>
      <c r="B1468" s="1731" t="s">
        <v>1931</v>
      </c>
      <c r="C1468" s="1463"/>
      <c r="D1468" s="1463"/>
      <c r="E1468" s="2150" t="str">
        <f>IF(AND(O1468&gt;0,NOT($H$11="New Affordability"),NOT($C$16="9%")), "Ineligible, not New Affordability and 9%!","")</f>
        <v>Ineligible, not New Affordability and 9%!</v>
      </c>
      <c r="F1468" s="1463"/>
      <c r="G1468" s="2164" t="str">
        <f>'Part VIII Scoring Criteria'!H256</f>
        <v>9%</v>
      </c>
      <c r="H1468" s="2179" t="str">
        <f>'Part VIII Scoring Criteria'!I256</f>
        <v>Other Metro</v>
      </c>
      <c r="I1468" s="1463"/>
      <c r="J1468" s="1463"/>
      <c r="K1468" s="1463"/>
      <c r="L1468" s="2146" t="s">
        <v>1743</v>
      </c>
      <c r="M1468" s="2567">
        <v>4</v>
      </c>
      <c r="N1468" s="1454"/>
      <c r="O1468" s="1462">
        <f>'Part VIII Scoring Criteria'!AA256</f>
        <v>4</v>
      </c>
      <c r="P1468" s="1462">
        <f>'Part VIII Scoring Criteria'!AB256</f>
        <v>0</v>
      </c>
      <c r="Q1468" s="2567" t="s">
        <v>1744</v>
      </c>
      <c r="R1468" s="2150"/>
      <c r="S1468" s="1445"/>
      <c r="T1468" s="1445"/>
      <c r="U1468" s="1445"/>
      <c r="V1468" s="1445"/>
      <c r="W1468" s="1470"/>
      <c r="X1468" s="1470"/>
      <c r="Y1468" s="1463"/>
      <c r="Z1468" s="1463"/>
      <c r="AA1468" s="1463"/>
      <c r="AB1468" s="1463"/>
      <c r="AC1468" s="1463"/>
      <c r="AD1468" s="1463"/>
      <c r="AE1468" s="1463"/>
      <c r="AF1468" s="1463"/>
    </row>
    <row r="1469" spans="1:32" ht="15">
      <c r="A1469" s="2247"/>
      <c r="B1469" s="1468" t="s">
        <v>1932</v>
      </c>
      <c r="C1469" s="1468"/>
      <c r="D1469" s="1468"/>
      <c r="E1469" s="1468"/>
      <c r="F1469" s="1468"/>
      <c r="G1469" s="1463"/>
      <c r="H1469" s="1463"/>
      <c r="I1469" s="1463"/>
      <c r="J1469" s="1463"/>
      <c r="K1469" s="1463"/>
      <c r="L1469" s="1463"/>
      <c r="M1469" s="1463"/>
      <c r="N1469" s="2157"/>
      <c r="O1469" s="2567" t="str">
        <f>'Part VIII Scoring Criteria'!AA257</f>
        <v>Yes</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1934</v>
      </c>
      <c r="H1470" s="1463" t="s">
        <v>45</v>
      </c>
      <c r="I1470" s="1463"/>
      <c r="J1470" s="1463"/>
      <c r="K1470" s="1463" t="s">
        <v>1933</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5">
      <c r="A1471" s="2247"/>
      <c r="B1471" s="2247"/>
      <c r="C1471" s="1463"/>
      <c r="D1471" s="1464" t="s">
        <v>1935</v>
      </c>
      <c r="E1471" s="1463"/>
      <c r="F1471" s="1463"/>
      <c r="G1471" s="1465" t="str">
        <f>'Part VIII Scoring Criteria'!F259</f>
        <v>2023-024</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5">
      <c r="A1472" s="2169"/>
      <c r="B1472" s="2247"/>
      <c r="C1472" s="1446"/>
      <c r="D1472" s="1465" t="s">
        <v>1936</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5">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5">
      <c r="A1474" s="1446"/>
      <c r="B1474" s="2142" t="s">
        <v>7607</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5">
      <c r="A1475" s="1469" t="str">
        <f>'Part VIII Scoring Criteria'!A263</f>
        <v>The proposed development is a second phase of a development started in 2025 and therefore eligible for 4 points in this category.</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5">
      <c r="A1476" s="1463"/>
      <c r="B1476" s="2160" t="s">
        <v>1452</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5">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5">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5">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5">
      <c r="A1480" s="1730" t="s">
        <v>1548</v>
      </c>
      <c r="B1480" s="1731" t="s">
        <v>1937</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1743</v>
      </c>
      <c r="M1480" s="2567">
        <v>5</v>
      </c>
      <c r="N1480" s="1454"/>
      <c r="O1480" s="1462">
        <f>'Part VIII Scoring Criteria'!AA268</f>
        <v>0</v>
      </c>
      <c r="P1480" s="1462">
        <f>'Part VIII Scoring Criteria'!AB268</f>
        <v>0</v>
      </c>
      <c r="Q1480" s="2567" t="s">
        <v>1744</v>
      </c>
      <c r="R1480" s="2150"/>
      <c r="S1480" s="1445"/>
      <c r="T1480" s="1445"/>
      <c r="U1480" s="1445"/>
      <c r="V1480" s="1445"/>
      <c r="W1480" s="1470"/>
      <c r="X1480" s="1470"/>
      <c r="Y1480" s="1463"/>
      <c r="Z1480" s="1463"/>
      <c r="AA1480" s="1463"/>
      <c r="AB1480" s="1463"/>
      <c r="AC1480" s="1463"/>
      <c r="AD1480" s="1463"/>
      <c r="AE1480" s="1463"/>
      <c r="AF1480" s="1463"/>
    </row>
    <row r="1481" spans="1:32" ht="15">
      <c r="A1481" s="1463"/>
      <c r="B1481" s="1463" t="s">
        <v>7644</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5">
      <c r="A1482" s="2567" t="s">
        <v>185</v>
      </c>
      <c r="B1482" s="1445" t="s">
        <v>7645</v>
      </c>
      <c r="C1482" s="1446"/>
      <c r="D1482" s="1446"/>
      <c r="E1482" s="1446"/>
      <c r="F1482" s="1446"/>
      <c r="G1482" s="1446"/>
      <c r="H1482" s="1446"/>
      <c r="I1482" s="1446"/>
      <c r="J1482" s="1446"/>
      <c r="K1482" s="1446"/>
      <c r="L1482" s="2180" t="s">
        <v>1743</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5">
      <c r="A1483" s="1463"/>
      <c r="B1483" s="1463"/>
      <c r="C1483" s="1463" t="s">
        <v>7646</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5">
      <c r="A1484" s="1463"/>
      <c r="B1484" s="1463"/>
      <c r="C1484" s="1463" t="s">
        <v>7647</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5">
      <c r="A1485" s="2567" t="s">
        <v>197</v>
      </c>
      <c r="B1485" s="1445" t="s">
        <v>1939</v>
      </c>
      <c r="C1485" s="1446"/>
      <c r="D1485" s="1446"/>
      <c r="E1485" s="1446"/>
      <c r="F1485" s="1446"/>
      <c r="G1485" s="1446"/>
      <c r="H1485" s="1446"/>
      <c r="I1485" s="1446"/>
      <c r="J1485" s="1446"/>
      <c r="K1485" s="1446"/>
      <c r="L1485" s="2180" t="s">
        <v>1743</v>
      </c>
      <c r="M1485" s="1454">
        <v>3</v>
      </c>
      <c r="N1485" s="1733"/>
      <c r="O1485" s="2567">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5">
      <c r="A1486" s="1463"/>
      <c r="B1486" s="1463"/>
      <c r="C1486" s="1463" t="s">
        <v>7648</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5">
      <c r="A1487" s="1463"/>
      <c r="B1487" s="1463"/>
      <c r="C1487" s="1463" t="s">
        <v>1941</v>
      </c>
      <c r="D1487" s="1463"/>
      <c r="E1487" s="1463"/>
      <c r="F1487" s="1463"/>
      <c r="G1487" s="1463"/>
      <c r="H1487" s="1463"/>
      <c r="I1487" s="1463"/>
      <c r="J1487" s="1463"/>
      <c r="K1487" s="1463"/>
      <c r="L1487" s="2220">
        <f>O1373</f>
        <v>0</v>
      </c>
      <c r="M1487" s="1463"/>
      <c r="N1487" s="2568"/>
      <c r="O1487" s="2567">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5">
      <c r="A1488" s="1463"/>
      <c r="B1488" s="1463"/>
      <c r="C1488" s="1463" t="s">
        <v>1943</v>
      </c>
      <c r="D1488" s="1463"/>
      <c r="E1488" s="1463"/>
      <c r="F1488" s="1463"/>
      <c r="G1488" s="1463"/>
      <c r="H1488" s="1463"/>
      <c r="I1488" s="1463"/>
      <c r="J1488" s="1463"/>
      <c r="K1488" s="1463"/>
      <c r="L1488" s="1463"/>
      <c r="M1488" s="1463"/>
      <c r="N1488" s="2568"/>
      <c r="O1488" s="2567">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5">
      <c r="A1489" s="2567" t="s">
        <v>218</v>
      </c>
      <c r="B1489" s="1445" t="s">
        <v>1942</v>
      </c>
      <c r="C1489" s="1463"/>
      <c r="D1489" s="1463"/>
      <c r="E1489" s="1463"/>
      <c r="F1489" s="1463"/>
      <c r="G1489" s="1465"/>
      <c r="H1489" s="1463"/>
      <c r="I1489" s="2147"/>
      <c r="J1489" s="1463"/>
      <c r="K1489" s="1463"/>
      <c r="L1489" s="2180" t="s">
        <v>1743</v>
      </c>
      <c r="M1489" s="1454">
        <v>3</v>
      </c>
      <c r="N1489" s="1733"/>
      <c r="O1489" s="2567">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4.25">
      <c r="A1490" s="1463"/>
      <c r="B1490" s="1463"/>
      <c r="C1490" s="1463" t="s">
        <v>7649</v>
      </c>
      <c r="D1490" s="1463"/>
      <c r="E1490" s="1463"/>
      <c r="F1490" s="1463"/>
      <c r="G1490" s="1463"/>
      <c r="H1490" s="1463"/>
      <c r="I1490" s="1463"/>
      <c r="J1490" s="1463"/>
      <c r="K1490" s="1463"/>
      <c r="L1490" s="1463"/>
      <c r="M1490" s="1463"/>
      <c r="N1490" s="2568"/>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5">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5">
      <c r="A1492" s="1446"/>
      <c r="B1492" s="2142" t="s">
        <v>7607</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5">
      <c r="A1493" s="1469" t="str">
        <f>'Part VIII Scoring Criteria'!A278</f>
        <v>N/A</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5">
      <c r="A1494" s="1463"/>
      <c r="B1494" s="2160" t="s">
        <v>1452</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5">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5">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5">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5">
      <c r="A1498" s="1730" t="s">
        <v>1557</v>
      </c>
      <c r="B1498" s="1731" t="s">
        <v>1922</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Not New Affordability!</v>
      </c>
      <c r="L1498" s="2146" t="s">
        <v>1743</v>
      </c>
      <c r="M1498" s="2567">
        <v>10</v>
      </c>
      <c r="N1498" s="1454"/>
      <c r="O1498" s="1462">
        <f>'Part VIII Scoring Criteria'!AA233</f>
        <v>10</v>
      </c>
      <c r="P1498" s="1462">
        <f>'Part VIII Scoring Criteria'!AB233</f>
        <v>0</v>
      </c>
      <c r="Q1498" s="2567" t="s">
        <v>1744</v>
      </c>
      <c r="R1498" s="2231" t="s">
        <v>1881</v>
      </c>
      <c r="S1498" s="1445"/>
      <c r="T1498" s="1445"/>
      <c r="U1498" s="1445"/>
      <c r="V1498" s="2227">
        <f>$H$15</f>
        <v>0</v>
      </c>
      <c r="W1498" s="1446"/>
      <c r="X1498" s="1446"/>
      <c r="Y1498" s="1446"/>
      <c r="Z1498" s="1446"/>
      <c r="AA1498" s="1446"/>
      <c r="AB1498" s="1446"/>
      <c r="AC1498" s="1446"/>
      <c r="AD1498" s="1446"/>
      <c r="AE1498" s="1446"/>
      <c r="AF1498" s="1446"/>
    </row>
    <row r="1499" spans="1:32" ht="15">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5">
      <c r="A1500" s="1730"/>
      <c r="B1500" s="1446"/>
      <c r="C1500" s="1446" t="s">
        <v>1923</v>
      </c>
      <c r="D1500" s="1731"/>
      <c r="E1500" s="1731"/>
      <c r="F1500" s="1446"/>
      <c r="G1500" s="1446"/>
      <c r="H1500" s="1446"/>
      <c r="I1500" s="1446"/>
      <c r="J1500" s="2567" t="s">
        <v>1730</v>
      </c>
      <c r="K1500" s="2567" t="s">
        <v>1724</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5">
      <c r="A1501" s="1730"/>
      <c r="B1501" s="1731"/>
      <c r="C1501" s="1446"/>
      <c r="D1501" s="1446" t="s">
        <v>1924</v>
      </c>
      <c r="E1501" s="1731"/>
      <c r="F1501" s="1446"/>
      <c r="G1501" s="1446"/>
      <c r="H1501" s="1446"/>
      <c r="I1501" s="1446"/>
      <c r="J1501" s="2220">
        <f>'Part VIII Scoring Criteria'!T236</f>
        <v>0</v>
      </c>
      <c r="K1501" s="2220">
        <f>'Part VIII Scoring Criteria'!U236</f>
        <v>0</v>
      </c>
      <c r="L1501" s="1737"/>
      <c r="M1501" s="1445" t="str">
        <f>'Part VIII Scoring Criteria'!Y236</f>
        <v>Other Metro</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5">
      <c r="A1502" s="1730"/>
      <c r="B1502" s="1731"/>
      <c r="C1502" s="1446"/>
      <c r="D1502" s="1446" t="s">
        <v>1925</v>
      </c>
      <c r="E1502" s="1731"/>
      <c r="F1502" s="1446"/>
      <c r="G1502" s="1446"/>
      <c r="H1502" s="1446"/>
      <c r="I1502" s="1446"/>
      <c r="J1502" s="2140">
        <f>'Part VIII Scoring Criteria'!T237</f>
        <v>6</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5">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5">
      <c r="A1504" s="2567" t="s">
        <v>185</v>
      </c>
      <c r="B1504" s="2166" t="s">
        <v>1926</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5</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5">
      <c r="A1505" s="2567" t="s">
        <v>197</v>
      </c>
      <c r="B1505" s="2166" t="s">
        <v>1927</v>
      </c>
      <c r="C1505" s="1463"/>
      <c r="D1505" s="1469"/>
      <c r="E1505" s="1463"/>
      <c r="F1505" s="1463"/>
      <c r="G1505" s="1463"/>
      <c r="H1505" s="1463"/>
      <c r="I1505" s="1463"/>
      <c r="J1505" s="2250" t="str">
        <f>'Part VIII Scoring Criteria'!K240</f>
        <v>Eligible</v>
      </c>
      <c r="K1505" s="1463"/>
      <c r="L1505" s="2148" t="str">
        <f t="shared" si="456"/>
        <v/>
      </c>
      <c r="M1505" s="1454">
        <v>5</v>
      </c>
      <c r="N1505" s="1733"/>
      <c r="O1505" s="1462">
        <f>'Part VIII Scoring Criteria'!AA240</f>
        <v>5</v>
      </c>
      <c r="P1505" s="1462">
        <f>'Part VIII Scoring Criteria'!AB240</f>
        <v>5</v>
      </c>
      <c r="Q1505" s="2568"/>
      <c r="R1505" s="1445"/>
      <c r="S1505" s="1445"/>
      <c r="T1505" s="1445"/>
      <c r="U1505" s="1445"/>
      <c r="V1505" s="1445"/>
      <c r="W1505" s="1463"/>
      <c r="X1505" s="1463"/>
      <c r="Y1505" s="1463"/>
      <c r="Z1505" s="1463"/>
      <c r="AA1505" s="1463"/>
      <c r="AB1505" s="1463"/>
      <c r="AC1505" s="1463"/>
      <c r="AD1505" s="1463"/>
      <c r="AE1505" s="1463"/>
      <c r="AF1505" s="1463"/>
    </row>
    <row r="1506" spans="1:32" ht="15">
      <c r="A1506" s="1446"/>
      <c r="B1506" s="2142" t="s">
        <v>7607</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5">
      <c r="A1507" s="1469" t="str">
        <f>'Part VIII Scoring Criteria'!A242</f>
        <v>The proposed development is not located in a 2026 QCT. The % of rental units occupied by 80% AMI and below with severe housing problems is above 45%. Average YOY growth between 2020-2023 is above 1% at 1.84% and the population is higher than it was 10 years prior.</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5">
      <c r="A1508" s="1446"/>
      <c r="B1508" s="2160" t="s">
        <v>1452</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5">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5">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5">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5">
      <c r="A1512" s="1730" t="s">
        <v>1565</v>
      </c>
      <c r="B1512" s="1731" t="s">
        <v>1945</v>
      </c>
      <c r="C1512" s="1446"/>
      <c r="D1512" s="1731"/>
      <c r="E1512" s="1731"/>
      <c r="F1512" s="1446"/>
      <c r="G1512" s="1446" t="str">
        <f>'Part VIII Scoring Criteria'!H283</f>
        <v>Other Metro</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1</v>
      </c>
      <c r="P1512" s="1739"/>
      <c r="Q1512" s="2567" t="s">
        <v>1744</v>
      </c>
      <c r="R1512" s="1445"/>
      <c r="S1512" s="1445"/>
      <c r="T1512" s="1445"/>
      <c r="U1512" s="1445"/>
      <c r="V1512" s="1445"/>
      <c r="W1512" s="1446"/>
      <c r="X1512" s="1446"/>
      <c r="Y1512" s="1446"/>
      <c r="Z1512" s="1446"/>
      <c r="AA1512" s="1446"/>
      <c r="AB1512" s="1446"/>
      <c r="AC1512" s="1446"/>
      <c r="AD1512" s="1446"/>
      <c r="AE1512" s="1446"/>
      <c r="AF1512" s="1446"/>
    </row>
    <row r="1513" spans="1:32" ht="15">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1946</v>
      </c>
      <c r="D1514" s="1731"/>
      <c r="E1514" s="1731"/>
      <c r="F1514" s="1446"/>
      <c r="G1514" s="1446"/>
      <c r="H1514" s="1446"/>
      <c r="I1514" s="1446"/>
      <c r="J1514" s="1446"/>
      <c r="K1514" s="1446"/>
      <c r="L1514" s="1446" t="s">
        <v>1947</v>
      </c>
      <c r="M1514" s="1446"/>
      <c r="N1514" s="1446"/>
      <c r="O1514" s="1446" t="s">
        <v>1948</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5">
      <c r="A1515" s="1730"/>
      <c r="B1515" s="1446"/>
      <c r="C1515" s="1446" t="s">
        <v>1949</v>
      </c>
      <c r="D1515" s="1731"/>
      <c r="E1515" s="1731"/>
      <c r="F1515" s="1446" t="s">
        <v>235</v>
      </c>
      <c r="G1515" s="1446"/>
      <c r="H1515" s="1446"/>
      <c r="I1515" s="1446" t="s">
        <v>47</v>
      </c>
      <c r="J1515" s="1446"/>
      <c r="K1515" s="1454" t="s">
        <v>1950</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5">
      <c r="A1516" s="1730"/>
      <c r="B1516" s="2233" t="s">
        <v>200</v>
      </c>
      <c r="C1516" s="1469" t="str">
        <f>'Part VIII Scoring Criteria'!C287</f>
        <v>Grady Health Systems</v>
      </c>
      <c r="D1516" s="2200"/>
      <c r="E1516" s="2200"/>
      <c r="F1516" s="1469">
        <f>'Part VIII Scoring Criteria'!G287</f>
        <v>0</v>
      </c>
      <c r="G1516" s="2200"/>
      <c r="H1516" s="2200"/>
      <c r="I1516" s="1469">
        <f>'Part VIII Scoring Criteria'!J287</f>
        <v>0</v>
      </c>
      <c r="J1516" s="2200"/>
      <c r="K1516" s="2251" t="str">
        <f>'Part VIII Scoring Criteria'!T287</f>
        <v>Fairburn</v>
      </c>
      <c r="L1516" s="2200">
        <f>'Part VIII Scoring Criteria'!X287</f>
        <v>16</v>
      </c>
      <c r="M1516" s="2200"/>
      <c r="N1516" s="2229"/>
      <c r="O1516" s="2200">
        <f>'Part VIII Scoring Criteria'!AA287</f>
        <v>250</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5">
      <c r="A1517" s="1730"/>
      <c r="B1517" s="2151" t="s">
        <v>208</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5">
      <c r="A1518" s="1730"/>
      <c r="B1518" s="2151" t="s">
        <v>212</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5">
      <c r="A1519" s="1730"/>
      <c r="B1519" s="2151" t="s">
        <v>252</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5">
      <c r="A1520" s="1446"/>
      <c r="B1520" s="2142" t="s">
        <v>7607</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5">
      <c r="A1521" s="1469" t="str">
        <f>'Part VIII Scoring Criteria'!A292</f>
        <v>See Tab 19 for Economic Development Proximity details on the new Grady Health Systems project.</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5">
      <c r="A1522" s="1446"/>
      <c r="B1522" s="2160" t="s">
        <v>1452</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5">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5">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5">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5">
      <c r="A1526" s="1730" t="s">
        <v>1577</v>
      </c>
      <c r="B1526" s="2186" t="s">
        <v>1951</v>
      </c>
      <c r="C1526" s="1463"/>
      <c r="D1526" s="1463"/>
      <c r="E1526" s="1463"/>
      <c r="F1526" s="1463"/>
      <c r="G1526" s="1463"/>
      <c r="H1526" s="1463"/>
      <c r="I1526" s="1463"/>
      <c r="J1526" s="1463"/>
      <c r="K1526" s="1463"/>
      <c r="L1526" s="1463"/>
      <c r="M1526" s="2567">
        <v>1</v>
      </c>
      <c r="N1526" s="2568"/>
      <c r="O1526" s="1462">
        <f>'Part VIII Scoring Criteria'!AA297</f>
        <v>1</v>
      </c>
      <c r="P1526" s="1462">
        <f>'Part VIII Scoring Criteria'!AB297</f>
        <v>0</v>
      </c>
      <c r="Q1526" s="2567" t="s">
        <v>1744</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5">
      <c r="A1527" s="2567" t="s">
        <v>185</v>
      </c>
      <c r="B1527" s="1470" t="s">
        <v>1952</v>
      </c>
      <c r="C1527" s="1463"/>
      <c r="D1527" s="1463"/>
      <c r="E1527" s="1463"/>
      <c r="F1527" s="1463"/>
      <c r="G1527" s="2182" t="s">
        <v>1953</v>
      </c>
      <c r="H1527" s="2252">
        <f>IF('Part V-Revenues &amp; Expenses'!$P$76=0,0,'Part V-Revenues &amp; Expenses'!$P$73/'Part V-Revenues &amp; Expenses'!$P$76)</f>
        <v>0</v>
      </c>
      <c r="I1527" s="1463"/>
      <c r="J1527" s="1463"/>
      <c r="K1527" s="1463"/>
      <c r="L1527" s="2148" t="str">
        <f t="shared" ref="L1527:L1528" si="458">IF(OR($O1527=$M1527,$O1527=0,$O1527=""),"","* * Check Score! * *")</f>
        <v/>
      </c>
      <c r="M1527" s="1454">
        <v>1</v>
      </c>
      <c r="N1527" s="1733"/>
      <c r="O1527" s="2567">
        <f>'Part VIII Scoring Criteria'!AA298</f>
        <v>0</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5">
      <c r="A1528" s="2567" t="s">
        <v>197</v>
      </c>
      <c r="B1528" s="1470" t="s">
        <v>1833</v>
      </c>
      <c r="C1528" s="1463"/>
      <c r="D1528" s="1463"/>
      <c r="E1528" s="1463"/>
      <c r="F1528" s="1463"/>
      <c r="G1528" s="2239" t="str">
        <f>'Part V-Revenues &amp; Expenses'!$O$62</f>
        <v>Income Averaging</v>
      </c>
      <c r="H1528" s="2239"/>
      <c r="I1528" s="1463"/>
      <c r="J1528" s="1463"/>
      <c r="K1528" s="1463"/>
      <c r="L1528" s="2148" t="str">
        <f t="shared" si="458"/>
        <v/>
      </c>
      <c r="M1528" s="2568">
        <v>1</v>
      </c>
      <c r="N1528" s="1733"/>
      <c r="O1528" s="2567">
        <f>'Part VIII Scoring Criteria'!AA299</f>
        <v>1</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5">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5">
      <c r="A1530" s="1446"/>
      <c r="B1530" s="2160" t="s">
        <v>1452</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5">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5">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5">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5">
      <c r="A1534" s="1730" t="s">
        <v>1582</v>
      </c>
      <c r="B1534" s="1731" t="s">
        <v>1954</v>
      </c>
      <c r="C1534" s="1463"/>
      <c r="D1534" s="1465"/>
      <c r="E1534" s="1463"/>
      <c r="F1534" s="1463"/>
      <c r="G1534" s="1469"/>
      <c r="H1534" s="1469"/>
      <c r="I1534" s="1469"/>
      <c r="J1534" s="1469"/>
      <c r="K1534" s="1469"/>
      <c r="L1534" s="1469"/>
      <c r="M1534" s="2567">
        <v>2</v>
      </c>
      <c r="N1534" s="1733"/>
      <c r="O1534" s="1462">
        <f>'Part VIII Scoring Criteria'!AA305</f>
        <v>0</v>
      </c>
      <c r="P1534" s="1462">
        <f>'Part VIII Scoring Criteria'!AB305</f>
        <v>0</v>
      </c>
      <c r="Q1534" s="2567" t="s">
        <v>1744</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4.25">
      <c r="A1535" s="2186"/>
      <c r="B1535" s="2212" t="s">
        <v>1955</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5">
      <c r="A1536" s="2169" t="s">
        <v>185</v>
      </c>
      <c r="B1536" s="1445" t="s">
        <v>1957</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5">
      <c r="A1538" s="2247" t="s">
        <v>197</v>
      </c>
      <c r="B1538" s="2136" t="s">
        <v>1959</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5">
      <c r="A1539" s="1446"/>
      <c r="B1539" s="2142" t="s">
        <v>7607</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5">
      <c r="A1540" s="1469" t="str">
        <f>'Part VIII Scoring Criteria'!A311</f>
        <v>N/A</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5">
      <c r="A1541" s="1463"/>
      <c r="B1541" s="2160" t="s">
        <v>1452</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5">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5">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5">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5">
      <c r="A1545" s="1730" t="s">
        <v>1587</v>
      </c>
      <c r="B1545" s="1731" t="s">
        <v>1960</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1744</v>
      </c>
      <c r="R1545" s="1445"/>
      <c r="S1545" s="1445"/>
      <c r="T1545" s="1445"/>
      <c r="U1545" s="1445"/>
      <c r="V1545" s="1445"/>
      <c r="W1545" s="1446"/>
      <c r="X1545" s="1446"/>
      <c r="Y1545" s="1446"/>
      <c r="Z1545" s="1446"/>
      <c r="AA1545" s="1446"/>
      <c r="AB1545" s="1446"/>
      <c r="AC1545" s="1446"/>
      <c r="AD1545" s="1446"/>
      <c r="AE1545" s="1446"/>
      <c r="AF1545" s="1446"/>
    </row>
    <row r="1546" spans="1:32" ht="15">
      <c r="A1546" s="2567" t="s">
        <v>185</v>
      </c>
      <c r="B1546" s="2166" t="s">
        <v>1961</v>
      </c>
      <c r="C1546" s="1463"/>
      <c r="D1546" s="1469"/>
      <c r="E1546" s="1463"/>
      <c r="F1546" s="1465" t="s">
        <v>1962</v>
      </c>
      <c r="G1546" s="1463"/>
      <c r="H1546" s="1463"/>
      <c r="I1546" s="1463"/>
      <c r="J1546" s="1469">
        <f>'Part VIII Scoring Criteria'!K317</f>
        <v>0</v>
      </c>
      <c r="K1546" s="1470"/>
      <c r="L1546" s="1470"/>
      <c r="M1546" s="2568">
        <v>2</v>
      </c>
      <c r="N1546" s="1733"/>
      <c r="O1546" s="2567">
        <f>'Part VIII Scoring Criteria'!AA317</f>
        <v>0</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5">
      <c r="A1547" s="2567" t="s">
        <v>197</v>
      </c>
      <c r="B1547" s="2166" t="s">
        <v>1963</v>
      </c>
      <c r="C1547" s="1463"/>
      <c r="D1547" s="1463"/>
      <c r="E1547" s="1463"/>
      <c r="F1547" s="1465" t="s">
        <v>1964</v>
      </c>
      <c r="G1547" s="1463"/>
      <c r="H1547" s="1463"/>
      <c r="I1547" s="1463"/>
      <c r="J1547" s="1469">
        <f>'Part VIII Scoring Criteria'!K318</f>
        <v>0</v>
      </c>
      <c r="K1547" s="1470"/>
      <c r="L1547" s="1470"/>
      <c r="M1547" s="2568">
        <v>2</v>
      </c>
      <c r="N1547" s="1733"/>
      <c r="O1547" s="2567">
        <f>'Part VIII Scoring Criteria'!AA318</f>
        <v>2</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5">
      <c r="A1548" s="1446"/>
      <c r="B1548" s="2142" t="s">
        <v>7607</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5">
      <c r="A1549" s="1469" t="str">
        <f>'Part VIII Scoring Criteria'!A320</f>
        <v>Applicant commits to accept resident services coordination from an entity certified as a “3rd Party Resident Services Coordination Contractor” by CORES or other DCA-approved program.</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5">
      <c r="A1550" s="1446"/>
      <c r="B1550" s="2160" t="s">
        <v>1452</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5">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5">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5">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5">
      <c r="A1554" s="2186" t="s">
        <v>1593</v>
      </c>
      <c r="B1554" s="1731" t="s">
        <v>1965</v>
      </c>
      <c r="C1554" s="1463"/>
      <c r="D1554" s="1470"/>
      <c r="E1554" s="1470"/>
      <c r="F1554" s="1463"/>
      <c r="G1554" s="1446"/>
      <c r="H1554" s="1463"/>
      <c r="I1554" s="1463"/>
      <c r="J1554" s="1463"/>
      <c r="K1554" s="1463"/>
      <c r="L1554" s="2211" t="str">
        <f>IF(AND(O1554&gt;0,NOT($C$16="9%")),"Ineligible, not 9%!","")</f>
        <v/>
      </c>
      <c r="M1554" s="2567">
        <v>2</v>
      </c>
      <c r="N1554" s="2148"/>
      <c r="O1554" s="2567">
        <f>'Part VIII Scoring Criteria'!AA325</f>
        <v>0</v>
      </c>
      <c r="P1554" s="1739"/>
      <c r="Q1554" s="2567" t="s">
        <v>1744</v>
      </c>
      <c r="R1554" s="2136"/>
      <c r="S1554" s="2136"/>
      <c r="T1554" s="1463"/>
      <c r="U1554" s="1463"/>
      <c r="V1554" s="1463"/>
      <c r="W1554" s="1463"/>
      <c r="X1554" s="1463"/>
      <c r="Y1554" s="1463"/>
      <c r="Z1554" s="1463"/>
      <c r="AA1554" s="1463"/>
      <c r="AB1554" s="1463"/>
      <c r="AC1554" s="1463"/>
      <c r="AD1554" s="1463"/>
      <c r="AE1554" s="1463"/>
      <c r="AF1554" s="1463"/>
    </row>
    <row r="1555" spans="1:32" ht="15">
      <c r="A1555" s="1737"/>
      <c r="B1555" s="2150" t="s">
        <v>1966</v>
      </c>
      <c r="C1555" s="1463"/>
      <c r="D1555" s="1470"/>
      <c r="E1555" s="1470"/>
      <c r="F1555" s="1463"/>
      <c r="G1555" s="1446"/>
      <c r="H1555" s="1463"/>
      <c r="I1555" s="1469" t="str">
        <f>'Part VIII Scoring Criteria'!J326</f>
        <v>Enter GICH Community Name (applicable to A and B)</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5">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5">
      <c r="A1557" s="1446"/>
      <c r="B1557" s="2142" t="s">
        <v>7607</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5">
      <c r="A1558" s="1469" t="str">
        <f>'Part VIII Scoring Criteria'!A329</f>
        <v>N/A</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5">
      <c r="A1559" s="1446"/>
      <c r="B1559" s="2142" t="s">
        <v>1452</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5">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5">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5">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5">
      <c r="A1563" s="2186" t="s">
        <v>1597</v>
      </c>
      <c r="B1563" s="1731" t="s">
        <v>1969</v>
      </c>
      <c r="C1563" s="1446"/>
      <c r="D1563" s="1731"/>
      <c r="E1563" s="1731"/>
      <c r="F1563" s="1446"/>
      <c r="G1563" s="1446"/>
      <c r="H1563" s="1446"/>
      <c r="I1563" s="2211" t="str">
        <f>IF(AND($O1563&gt;0,NOT($H$11="Preservation")),"Ineligible, not Preservation!","")</f>
        <v/>
      </c>
      <c r="J1563" s="1446"/>
      <c r="K1563" s="1446"/>
      <c r="L1563" s="1446"/>
      <c r="M1563" s="2567"/>
      <c r="N1563" s="1454"/>
      <c r="O1563" s="1739">
        <f>'Part VIII Scoring Criteria'!AA334</f>
        <v>0</v>
      </c>
      <c r="P1563" s="1739">
        <f>'Part VIII Scoring Criteria'!AB334</f>
        <v>0</v>
      </c>
      <c r="Q1563" s="2567" t="s">
        <v>1744</v>
      </c>
      <c r="R1563" s="2150"/>
      <c r="S1563" s="1446"/>
      <c r="T1563" s="1446"/>
      <c r="U1563" s="1446"/>
      <c r="V1563" s="1446"/>
      <c r="W1563" s="1446"/>
      <c r="X1563" s="1446"/>
      <c r="Y1563" s="1446"/>
      <c r="Z1563" s="1446"/>
      <c r="AA1563" s="1446"/>
      <c r="AB1563" s="1446"/>
      <c r="AC1563" s="1446"/>
      <c r="AD1563" s="1446"/>
      <c r="AE1563" s="1446"/>
      <c r="AF1563" s="1446"/>
    </row>
    <row r="1564" spans="1:32" ht="15">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5">
      <c r="A1565" s="2567" t="s">
        <v>185</v>
      </c>
      <c r="B1565" s="1445" t="s">
        <v>1970</v>
      </c>
      <c r="C1565" s="1446"/>
      <c r="D1565" s="1731"/>
      <c r="E1565" s="1731"/>
      <c r="F1565" s="1446"/>
      <c r="G1565" s="1446"/>
      <c r="H1565" s="1446"/>
      <c r="I1565" s="1446"/>
      <c r="J1565" s="1446"/>
      <c r="K1565" s="1446"/>
      <c r="L1565" s="2180" t="s">
        <v>1743</v>
      </c>
      <c r="M1565" s="2567">
        <v>6</v>
      </c>
      <c r="N1565" s="1454"/>
      <c r="O1565" s="2567">
        <f>'Part VIII Scoring Criteria'!AA336</f>
        <v>0</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5">
      <c r="A1566" s="2155" t="s">
        <v>197</v>
      </c>
      <c r="B1566" s="1445" t="s">
        <v>1971</v>
      </c>
      <c r="C1566" s="1446"/>
      <c r="D1566" s="1731"/>
      <c r="E1566" s="1731"/>
      <c r="F1566" s="1446"/>
      <c r="G1566" s="2173" t="s">
        <v>7650</v>
      </c>
      <c r="H1566" s="1446"/>
      <c r="I1566" s="1446"/>
      <c r="J1566" s="2173"/>
      <c r="K1566" s="2149" t="str">
        <f>IF(OR($O1566=$M1566,$O1566=0,$O1566=""),"","*CHECK!*")</f>
        <v/>
      </c>
      <c r="L1566" s="2180" t="s">
        <v>1743</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5">
      <c r="A1567" s="2186"/>
      <c r="B1567" s="1446" t="s">
        <v>1973</v>
      </c>
      <c r="C1567" s="1446"/>
      <c r="D1567" s="1731"/>
      <c r="E1567" s="1731"/>
      <c r="F1567" s="1445"/>
      <c r="G1567" s="1446"/>
      <c r="H1567" s="1446"/>
      <c r="I1567" s="1446"/>
      <c r="J1567" s="1446"/>
      <c r="K1567" s="1446"/>
      <c r="L1567" s="2149"/>
      <c r="M1567" s="2567"/>
      <c r="N1567" s="1454"/>
      <c r="O1567" s="2567">
        <f>'Part VIII Scoring Criteria'!AA338</f>
        <v>0</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218</v>
      </c>
      <c r="B1568" s="2136" t="s">
        <v>1974</v>
      </c>
      <c r="C1568" s="1468"/>
      <c r="D1568" s="1468"/>
      <c r="E1568" s="1468"/>
      <c r="F1568" s="1468"/>
      <c r="G1568" s="2145" t="s">
        <v>1975</v>
      </c>
      <c r="H1568" s="2145"/>
      <c r="I1568" s="2145"/>
      <c r="J1568" s="1445" t="str">
        <f>IF(AND(O1568&gt;0, O1569&gt;0), "Choose EITHER C OR D, but not both!","")</f>
        <v/>
      </c>
      <c r="K1568" s="1445"/>
      <c r="L1568" s="2180" t="s">
        <v>1743</v>
      </c>
      <c r="M1568" s="2567">
        <v>4</v>
      </c>
      <c r="N1568" s="1733"/>
      <c r="O1568" s="2567">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220</v>
      </c>
      <c r="B1569" s="1445" t="s">
        <v>1976</v>
      </c>
      <c r="C1569" s="1463"/>
      <c r="D1569" s="1463"/>
      <c r="E1569" s="1470"/>
      <c r="F1569" s="1463"/>
      <c r="G1569" s="2145"/>
      <c r="H1569" s="2145"/>
      <c r="I1569" s="2145"/>
      <c r="J1569" s="1445"/>
      <c r="K1569" s="1445"/>
      <c r="L1569" s="2180" t="s">
        <v>1743</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5">
      <c r="A1570" s="2567" t="s">
        <v>227</v>
      </c>
      <c r="B1570" s="1445" t="s">
        <v>1977</v>
      </c>
      <c r="C1570" s="1446"/>
      <c r="D1570" s="1731"/>
      <c r="E1570" s="1446"/>
      <c r="F1570" s="1446"/>
      <c r="G1570" s="2173" t="s">
        <v>7650</v>
      </c>
      <c r="H1570" s="1446"/>
      <c r="I1570" s="1446"/>
      <c r="J1570" s="2173"/>
      <c r="K1570" s="1184" t="str">
        <f>IF(AND($O1570&gt;0,NOT($H$11="Preservation")),"Ineligible, not Preservation!","")</f>
        <v/>
      </c>
      <c r="L1570" s="2180" t="s">
        <v>1743</v>
      </c>
      <c r="M1570" s="2567">
        <v>20</v>
      </c>
      <c r="N1570" s="1454"/>
      <c r="O1570" s="1462">
        <f>'Part VIII Scoring Criteria'!AA341</f>
        <v>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5">
      <c r="A1571" s="2567"/>
      <c r="B1571" s="1445"/>
      <c r="C1571" s="1446"/>
      <c r="D1571" s="1446"/>
      <c r="E1571" s="1446"/>
      <c r="F1571" s="1446" t="s">
        <v>1979</v>
      </c>
      <c r="G1571" s="1731"/>
      <c r="H1571" s="1446"/>
      <c r="I1571" s="1446"/>
      <c r="J1571" s="1446"/>
      <c r="K1571" s="1737" t="s">
        <v>1730</v>
      </c>
      <c r="L1571" s="2567" t="s">
        <v>1724</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5">
      <c r="A1572" s="2567"/>
      <c r="B1572" s="1445"/>
      <c r="C1572" s="1446"/>
      <c r="D1572" s="1446"/>
      <c r="E1572" s="1446"/>
      <c r="F1572" s="1446"/>
      <c r="G1572" s="2229" t="s">
        <v>1980</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5">
      <c r="A1573" s="2567"/>
      <c r="B1573" s="1445"/>
      <c r="C1573" s="1446"/>
      <c r="D1573" s="1446"/>
      <c r="E1573" s="1446"/>
      <c r="F1573" s="1446"/>
      <c r="G1573" s="2229" t="s">
        <v>1981</v>
      </c>
      <c r="H1573" s="1446"/>
      <c r="I1573" s="1446"/>
      <c r="J1573" s="1446"/>
      <c r="K1573" s="2220">
        <f>'Part VIII Scoring Criteria'!U344</f>
        <v>3</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5">
      <c r="A1574" s="2567"/>
      <c r="B1574" s="1445"/>
      <c r="C1574" s="1446"/>
      <c r="D1574" s="1446"/>
      <c r="E1574" s="1446"/>
      <c r="F1574" s="1446"/>
      <c r="G1574" s="2229" t="s">
        <v>1982</v>
      </c>
      <c r="H1574" s="1446"/>
      <c r="I1574" s="1446"/>
      <c r="J1574" s="1446"/>
      <c r="K1574" s="2253">
        <f>'Part VIII Scoring Criteria'!U345</f>
        <v>1.5</v>
      </c>
      <c r="L1574" s="2254">
        <f>$P$190</f>
        <v>0</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5">
      <c r="A1575" s="2567"/>
      <c r="B1575" s="1445"/>
      <c r="C1575" s="1446"/>
      <c r="D1575" s="1446"/>
      <c r="E1575" s="1446"/>
      <c r="F1575" s="1446" t="s">
        <v>1983</v>
      </c>
      <c r="G1575" s="1446"/>
      <c r="H1575" s="1446"/>
      <c r="I1575" s="1446"/>
      <c r="J1575" s="2205" t="s">
        <v>1984</v>
      </c>
      <c r="K1575" s="2220">
        <f>MAX(K1576:K1578)</f>
        <v>6</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5">
      <c r="A1576" s="2567"/>
      <c r="B1576" s="1445"/>
      <c r="C1576" s="1446"/>
      <c r="D1576" s="1446"/>
      <c r="E1576" s="1446"/>
      <c r="F1576" s="1446"/>
      <c r="G1576" s="2229" t="s">
        <v>1924</v>
      </c>
      <c r="H1576" s="1446"/>
      <c r="I1576" s="1446"/>
      <c r="J1576" s="1446"/>
      <c r="K1576" s="2220">
        <f>'Part VIII Scoring Criteria'!U347</f>
        <v>0</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5">
      <c r="A1577" s="2567"/>
      <c r="B1577" s="1445"/>
      <c r="C1577" s="1446"/>
      <c r="D1577" s="1446"/>
      <c r="E1577" s="1446"/>
      <c r="F1577" s="1446"/>
      <c r="G1577" s="2229" t="s">
        <v>1925</v>
      </c>
      <c r="H1577" s="1446"/>
      <c r="I1577" s="1446"/>
      <c r="J1577" s="1446"/>
      <c r="K1577" s="2140">
        <f>'Part VIII Scoring Criteria'!U348</f>
        <v>6</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5">
      <c r="A1578" s="2567"/>
      <c r="B1578" s="1445"/>
      <c r="C1578" s="1446"/>
      <c r="D1578" s="1446"/>
      <c r="E1578" s="1446"/>
      <c r="F1578" s="1446"/>
      <c r="G1578" s="2229" t="s">
        <v>1985</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5">
      <c r="A1579" s="2567" t="s">
        <v>229</v>
      </c>
      <c r="B1579" s="1445" t="s">
        <v>1987</v>
      </c>
      <c r="C1579" s="1446"/>
      <c r="D1579" s="1731"/>
      <c r="E1579" s="1446"/>
      <c r="F1579" s="1446"/>
      <c r="G1579" s="2147"/>
      <c r="H1579" s="1446"/>
      <c r="I1579" s="1446"/>
      <c r="J1579" s="1446"/>
      <c r="K1579" s="2149" t="str">
        <f>IF(OR($O1579&lt;=$M1579,$O1579=0,$O1579=""),"","*CHECK!*")</f>
        <v/>
      </c>
      <c r="L1579" s="1733" t="s">
        <v>1743</v>
      </c>
      <c r="M1579" s="2567">
        <v>22</v>
      </c>
      <c r="N1579" s="1454"/>
      <c r="O1579" s="1462">
        <f>'Part VIII Scoring Criteria'!AA351</f>
        <v>0</v>
      </c>
      <c r="P1579" s="1462">
        <f>'Part VIII Scoring Criteria'!AB351</f>
        <v>0</v>
      </c>
      <c r="Q1579" s="2567" t="s">
        <v>1744</v>
      </c>
      <c r="R1579" s="2150"/>
      <c r="S1579" s="1446"/>
      <c r="T1579" s="1446"/>
      <c r="U1579" s="1446"/>
      <c r="V1579" s="1446"/>
      <c r="W1579" s="1446"/>
      <c r="X1579" s="1446"/>
      <c r="Y1579" s="1446"/>
      <c r="Z1579" s="1446"/>
      <c r="AA1579" s="1446"/>
      <c r="AB1579" s="1446"/>
      <c r="AC1579" s="1446"/>
      <c r="AD1579" s="1446"/>
      <c r="AE1579" s="1446"/>
      <c r="AF1579" s="1446"/>
    </row>
    <row r="1580" spans="1:32" ht="15">
      <c r="A1580" s="2567"/>
      <c r="B1580" s="2151"/>
      <c r="C1580" s="1465" t="s">
        <v>1988</v>
      </c>
      <c r="D1580" s="1446"/>
      <c r="E1580" s="1446"/>
      <c r="F1580" s="1446"/>
      <c r="G1580" s="2230" t="s">
        <v>1989</v>
      </c>
      <c r="H1580" s="1446"/>
      <c r="I1580" s="2567"/>
      <c r="J1580" s="1446"/>
      <c r="K1580" s="2194">
        <f>'Part VIII Scoring Criteria'!T352</f>
        <v>0</v>
      </c>
      <c r="L1580" s="1446"/>
      <c r="M1580" s="2180" t="s">
        <v>1743</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5">
      <c r="A1581" s="2567"/>
      <c r="B1581" s="2153"/>
      <c r="C1581" s="1468" t="s">
        <v>1990</v>
      </c>
      <c r="D1581" s="1468"/>
      <c r="E1581" s="1468"/>
      <c r="F1581" s="1446"/>
      <c r="G1581" s="2229" t="s">
        <v>1991</v>
      </c>
      <c r="H1581" s="1446"/>
      <c r="I1581" s="1468"/>
      <c r="J1581" s="1446"/>
      <c r="K1581" s="1467">
        <f>'Part VIII Scoring Criteria'!T353</f>
        <v>0</v>
      </c>
      <c r="L1581" s="1446"/>
      <c r="M1581" s="2180" t="s">
        <v>1743</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5">
      <c r="A1582" s="1463"/>
      <c r="B1582" s="2151"/>
      <c r="C1582" s="1446" t="s">
        <v>1992</v>
      </c>
      <c r="D1582" s="1463"/>
      <c r="E1582" s="1463"/>
      <c r="F1582" s="1463"/>
      <c r="G1582" s="2173" t="s">
        <v>1993</v>
      </c>
      <c r="H1582" s="1463"/>
      <c r="I1582" s="1463"/>
      <c r="J1582" s="1463"/>
      <c r="K1582" s="1454" t="str">
        <f>'Part VIII Scoring Criteria'!T354</f>
        <v/>
      </c>
      <c r="L1582" s="1463"/>
      <c r="M1582" s="2180" t="s">
        <v>1743</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5">
      <c r="A1583" s="2567"/>
      <c r="B1583" s="1463" t="s">
        <v>1994</v>
      </c>
      <c r="C1583" s="1463"/>
      <c r="D1583" s="1463" t="s">
        <v>1995</v>
      </c>
      <c r="E1583" s="1446"/>
      <c r="F1583" s="1446"/>
      <c r="G1583" s="1446" t="s">
        <v>235</v>
      </c>
      <c r="H1583" s="1446"/>
      <c r="I1583" s="1446"/>
      <c r="J1583" s="1446" t="s">
        <v>47</v>
      </c>
      <c r="K1583" s="1446"/>
      <c r="L1583" s="2568" t="s">
        <v>1950</v>
      </c>
      <c r="M1583" s="1463" t="s">
        <v>1996</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4.25">
      <c r="A1584" s="2152" t="s">
        <v>202</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4.25">
      <c r="A1585" s="2152" t="s">
        <v>205</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4.25">
      <c r="A1586" s="2152" t="s">
        <v>207</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4.25">
      <c r="A1587" s="2152" t="s">
        <v>1997</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4.25">
      <c r="A1588" s="2152" t="s">
        <v>1998</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4.25">
      <c r="A1589" s="2152" t="s">
        <v>1999</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4.25">
      <c r="A1590" s="2152" t="s">
        <v>2000</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4.25">
      <c r="A1591" s="2152" t="s">
        <v>2001</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4.25">
      <c r="A1592" s="2152" t="s">
        <v>2002</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4.25">
      <c r="A1593" s="2152" t="s">
        <v>2003</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5">
      <c r="A1594" s="2155"/>
      <c r="B1594" s="2156"/>
      <c r="C1594" s="1468" t="s">
        <v>2004</v>
      </c>
      <c r="D1594" s="1468"/>
      <c r="E1594" s="1468"/>
      <c r="F1594" s="1468"/>
      <c r="G1594" s="2173" t="s">
        <v>1993</v>
      </c>
      <c r="H1594" s="1468"/>
      <c r="I1594" s="1468"/>
      <c r="J1594" s="2173" t="s">
        <v>2005</v>
      </c>
      <c r="K1594" s="2241">
        <f>'Part VIII Scoring Criteria'!T366</f>
        <v>0</v>
      </c>
      <c r="L1594" s="1454" t="str">
        <f>'Part VIII Scoring Criteria'!X366</f>
        <v/>
      </c>
      <c r="M1594" s="2192" t="s">
        <v>1743</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5">
      <c r="A1595" s="1446"/>
      <c r="B1595" s="2142" t="s">
        <v>7607</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5">
      <c r="A1596" s="1469" t="str">
        <f>'Part VIII Scoring Criteria'!A368</f>
        <v>N/A</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5">
      <c r="A1597" s="2142"/>
      <c r="B1597" s="2142" t="s">
        <v>1452</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5">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7651</v>
      </c>
      <c r="R1599" s="2200"/>
      <c r="S1599" s="2200"/>
      <c r="T1599" s="2200"/>
      <c r="U1599" s="2200"/>
      <c r="V1599" s="2200"/>
      <c r="W1599" s="2200"/>
      <c r="X1599" s="2200"/>
      <c r="Y1599" s="2200"/>
      <c r="Z1599" s="2200"/>
      <c r="AA1599" s="2200"/>
      <c r="AB1599" s="2200"/>
      <c r="AC1599" s="2200"/>
      <c r="AD1599" s="2200"/>
      <c r="AE1599" s="2200"/>
      <c r="AF1599" s="2200"/>
    </row>
    <row r="1600" spans="1:32" ht="15">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5">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5">
      <c r="A1602" s="1445" t="s">
        <v>2007</v>
      </c>
      <c r="B1602" s="1463"/>
      <c r="C1602" s="1446"/>
      <c r="D1602" s="1463"/>
      <c r="E1602" s="1463"/>
      <c r="F1602" s="1463"/>
      <c r="G1602" s="1446"/>
      <c r="H1602" s="1446"/>
      <c r="I1602" s="1446"/>
      <c r="J1602" s="1446"/>
      <c r="K1602" s="1446"/>
      <c r="L1602" s="1446"/>
      <c r="M1602" s="1462"/>
      <c r="N1602" s="2140"/>
      <c r="O1602" s="2141">
        <f>'Part VIII Scoring Criteria'!AA374</f>
        <v>81.5</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4.25">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5">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7652</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4.25">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75">
      <c r="A1610" s="2256" t="s">
        <v>4584</v>
      </c>
      <c r="B1610" s="2256"/>
      <c r="C1610" s="2256"/>
      <c r="D1610" s="2256"/>
      <c r="E1610" s="2256"/>
      <c r="F1610" s="2256"/>
      <c r="G1610" s="2256"/>
      <c r="H1610" s="2256"/>
      <c r="I1610" s="2257"/>
      <c r="J1610" s="2257"/>
      <c r="K1610" s="2257"/>
    </row>
    <row r="1611" spans="1:32" ht="18.75">
      <c r="A1611" s="2256" t="s">
        <v>4585</v>
      </c>
      <c r="B1611" s="2256"/>
      <c r="C1611" s="2256"/>
      <c r="D1611" s="2256"/>
      <c r="E1611" s="2256"/>
      <c r="F1611" s="2256"/>
      <c r="G1611" s="2256"/>
      <c r="H1611" s="2256"/>
      <c r="I1611" s="2257"/>
      <c r="J1611" s="2257"/>
      <c r="K1611" s="2257"/>
    </row>
    <row r="1612" spans="1:32" ht="16.5">
      <c r="A1612" s="2258" t="s">
        <v>4586</v>
      </c>
      <c r="B1612" s="2259"/>
      <c r="C1612" s="2259"/>
      <c r="D1612" s="2260">
        <f>'Part I-Project Identification'!F1632</f>
        <v>0</v>
      </c>
      <c r="E1612" s="2260"/>
      <c r="F1612" s="2260"/>
      <c r="G1612" s="2260"/>
      <c r="H1612" s="2260"/>
      <c r="I1612" s="2260"/>
      <c r="J1612" s="2261" t="s">
        <v>4587</v>
      </c>
      <c r="K1612" s="2261"/>
    </row>
    <row r="1613" spans="1:32" ht="16.5" customHeight="1">
      <c r="A1613" s="2258" t="s">
        <v>4588</v>
      </c>
      <c r="B1613" s="2259"/>
      <c r="C1613" s="2259"/>
      <c r="D1613" s="2260">
        <f>'Part X - HOME NHTF Unit Calcs'!D4</f>
        <v>0</v>
      </c>
      <c r="E1613" s="2260"/>
      <c r="F1613" s="2260"/>
      <c r="G1613" s="2260"/>
      <c r="H1613" s="2260"/>
      <c r="I1613" s="2260"/>
      <c r="J1613" s="2261" t="s">
        <v>4589</v>
      </c>
      <c r="K1613" s="2261"/>
    </row>
    <row r="1614" spans="1:32" ht="16.5">
      <c r="A1614" s="2258" t="s">
        <v>4590</v>
      </c>
      <c r="B1614" s="2259"/>
      <c r="C1614" s="2259"/>
      <c r="D1614" s="2262">
        <f>'Part X - HOME NHTF Unit Calcs'!D5</f>
        <v>0</v>
      </c>
      <c r="E1614" s="2262"/>
      <c r="F1614" s="2262"/>
      <c r="G1614" s="2262"/>
      <c r="H1614" s="2262"/>
      <c r="I1614" s="2262"/>
      <c r="J1614" s="2261"/>
      <c r="K1614" s="2261"/>
    </row>
    <row r="1615" spans="1:32" ht="16.5">
      <c r="A1615" s="2257"/>
      <c r="B1615" s="2257"/>
      <c r="C1615" s="2257"/>
      <c r="D1615" s="2257"/>
      <c r="E1615" s="2257"/>
      <c r="F1615" s="2257"/>
      <c r="G1615" s="2257"/>
      <c r="H1615" s="2257"/>
      <c r="I1615" s="2257"/>
      <c r="J1615" s="2257"/>
      <c r="K1615" s="2257"/>
    </row>
    <row r="1616" spans="1:32" ht="16.5">
      <c r="A1616" s="2263" t="s">
        <v>4591</v>
      </c>
      <c r="B1616" s="2263"/>
      <c r="C1616" s="2263"/>
      <c r="D1616" s="2263"/>
      <c r="E1616" s="2263"/>
      <c r="F1616" s="2263"/>
      <c r="G1616" s="2263"/>
      <c r="H1616" s="2263"/>
      <c r="I1616" s="2263"/>
      <c r="J1616" s="2263"/>
      <c r="K1616" s="2263"/>
    </row>
    <row r="1617" spans="1:11" ht="16.5">
      <c r="A1617" s="2259"/>
      <c r="B1617" s="2259"/>
      <c r="C1617" s="2264">
        <v>1</v>
      </c>
      <c r="D1617" s="2259" t="s">
        <v>4592</v>
      </c>
      <c r="E1617" s="2259"/>
      <c r="F1617" s="2259"/>
      <c r="G1617" s="2259"/>
      <c r="H1617" s="2259"/>
      <c r="I1617" s="2259"/>
      <c r="J1617" s="2260">
        <f>'Part X - HOME NHTF Unit Calcs'!J8</f>
        <v>0</v>
      </c>
      <c r="K1617" s="2260"/>
    </row>
    <row r="1618" spans="1:11" ht="16.5">
      <c r="A1618" s="2259"/>
      <c r="B1618" s="2259"/>
      <c r="C1618" s="2259"/>
      <c r="D1618" s="2259"/>
      <c r="E1618" s="2259"/>
      <c r="F1618" s="2259"/>
      <c r="G1618" s="2259"/>
      <c r="H1618" s="2259"/>
      <c r="I1618" s="2259"/>
      <c r="J1618" s="2259"/>
      <c r="K1618" s="2265"/>
    </row>
    <row r="1619" spans="1:11" ht="16.5">
      <c r="A1619" s="2263" t="s">
        <v>4593</v>
      </c>
      <c r="B1619" s="2263"/>
      <c r="C1619" s="2263"/>
      <c r="D1619" s="2263"/>
      <c r="E1619" s="2263"/>
      <c r="F1619" s="2263"/>
      <c r="G1619" s="2263"/>
      <c r="H1619" s="2263"/>
      <c r="I1619" s="2263"/>
      <c r="J1619" s="2263"/>
      <c r="K1619" s="2263"/>
    </row>
    <row r="1620" spans="1:11" ht="16.5">
      <c r="A1620" s="2259"/>
      <c r="B1620" s="2259"/>
      <c r="C1620" s="2264">
        <v>2</v>
      </c>
      <c r="D1620" s="2259" t="s">
        <v>4594</v>
      </c>
      <c r="E1620" s="2263"/>
      <c r="F1620" s="2263"/>
      <c r="G1620" s="2263"/>
      <c r="H1620" s="2263"/>
      <c r="I1620" s="2263"/>
      <c r="J1620" s="2266">
        <f>'Part X - HOME NHTF Unit Calcs'!J11</f>
        <v>0</v>
      </c>
      <c r="K1620" s="2266"/>
    </row>
    <row r="1621" spans="1:11" ht="16.5">
      <c r="A1621" s="2259"/>
      <c r="B1621" s="2259"/>
      <c r="C1621" s="2259"/>
      <c r="D1621" s="2259"/>
      <c r="E1621" s="2259"/>
      <c r="F1621" s="2259"/>
      <c r="G1621" s="2259"/>
      <c r="H1621" s="2259"/>
      <c r="I1621" s="2259"/>
      <c r="J1621" s="2259"/>
      <c r="K1621" s="2264"/>
    </row>
    <row r="1622" spans="1:11" ht="16.5">
      <c r="A1622" s="2263" t="s">
        <v>4595</v>
      </c>
      <c r="B1622" s="2263"/>
      <c r="C1622" s="2263"/>
      <c r="D1622" s="2263"/>
      <c r="E1622" s="2263"/>
      <c r="F1622" s="2263"/>
      <c r="G1622" s="2263"/>
      <c r="H1622" s="2263"/>
      <c r="I1622" s="2263"/>
      <c r="J1622" s="2263"/>
      <c r="K1622" s="2263"/>
    </row>
    <row r="1623" spans="1:11" ht="16.5">
      <c r="A1623" s="2259"/>
      <c r="B1623" s="2259"/>
      <c r="C1623" s="2264">
        <v>3</v>
      </c>
      <c r="D1623" s="2259" t="s">
        <v>4596</v>
      </c>
      <c r="E1623" s="2259"/>
      <c r="F1623" s="2259"/>
      <c r="G1623" s="2259"/>
      <c r="H1623" s="2259"/>
      <c r="I1623" s="2259"/>
      <c r="J1623" s="2260">
        <f>'Part X - HOME NHTF Unit Calcs'!J14</f>
        <v>0</v>
      </c>
      <c r="K1623" s="2260"/>
    </row>
    <row r="1624" spans="1:11" ht="16.5">
      <c r="A1624" s="2259"/>
      <c r="B1624" s="2259"/>
      <c r="C1624" s="2259">
        <v>4</v>
      </c>
      <c r="D1624" s="2259" t="s">
        <v>4597</v>
      </c>
      <c r="E1624" s="2259"/>
      <c r="F1624" s="2259"/>
      <c r="G1624" s="2259"/>
      <c r="H1624" s="2259"/>
      <c r="I1624" s="2259"/>
      <c r="J1624" s="2260">
        <f>'Part X - HOME NHTF Unit Calcs'!J15</f>
        <v>472474</v>
      </c>
      <c r="K1624" s="2260"/>
    </row>
    <row r="1625" spans="1:11" ht="16.5">
      <c r="A1625" s="2259"/>
      <c r="B1625" s="2259"/>
      <c r="C1625" s="2259">
        <v>5</v>
      </c>
      <c r="D1625" s="2259" t="s">
        <v>4598</v>
      </c>
      <c r="E1625" s="2259"/>
      <c r="F1625" s="2259"/>
      <c r="G1625" s="2259"/>
      <c r="H1625" s="2259"/>
      <c r="I1625" s="2259"/>
      <c r="J1625" s="2260">
        <f>'Part X - HOME NHTF Unit Calcs'!J16</f>
        <v>0</v>
      </c>
      <c r="K1625" s="2260"/>
    </row>
    <row r="1626" spans="1:11" ht="16.5">
      <c r="A1626" s="2259"/>
      <c r="B1626" s="2259"/>
      <c r="C1626" s="2264">
        <v>6</v>
      </c>
      <c r="D1626" s="2259" t="s">
        <v>4599</v>
      </c>
      <c r="E1626" s="2259"/>
      <c r="F1626" s="2259"/>
      <c r="G1626" s="2259"/>
      <c r="H1626" s="2259"/>
      <c r="I1626" s="2259"/>
      <c r="J1626" s="2259">
        <f>'Part X - HOME NHTF Unit Calcs'!J17</f>
        <v>0</v>
      </c>
      <c r="K1626" s="2259"/>
    </row>
    <row r="1627" spans="1:11" ht="16.5">
      <c r="A1627" s="2259"/>
      <c r="B1627" s="2259"/>
      <c r="C1627" s="2259"/>
      <c r="D1627" s="2259"/>
      <c r="E1627" s="2259"/>
      <c r="F1627" s="2259"/>
      <c r="G1627" s="2259"/>
      <c r="H1627" s="2259"/>
      <c r="I1627" s="2259"/>
      <c r="J1627" s="2259"/>
      <c r="K1627" s="2259"/>
    </row>
    <row r="1628" spans="1:11" ht="16.5">
      <c r="A1628" s="2259"/>
      <c r="B1628" s="2259"/>
      <c r="C1628" s="2264">
        <v>7</v>
      </c>
      <c r="D1628" s="2259" t="s">
        <v>4600</v>
      </c>
      <c r="E1628" s="2259"/>
      <c r="F1628" s="2259"/>
      <c r="G1628" s="2259"/>
      <c r="H1628" s="2259"/>
      <c r="I1628" s="2259"/>
      <c r="J1628" s="2260" t="str">
        <f>IF(J1626="No",J1623-J1624,IF(J1626="Yes",J1623-J1624-J1625,"Error"))</f>
        <v>Error</v>
      </c>
      <c r="K1628" s="2260"/>
    </row>
    <row r="1629" spans="1:11" ht="16.5">
      <c r="A1629" s="2259"/>
      <c r="B1629" s="2259"/>
      <c r="C1629" s="2264">
        <v>8</v>
      </c>
      <c r="D1629" s="2259" t="s">
        <v>4601</v>
      </c>
      <c r="E1629" s="2259"/>
      <c r="F1629" s="2259"/>
      <c r="G1629" s="2259"/>
      <c r="H1629" s="2259"/>
      <c r="I1629" s="2259"/>
      <c r="J1629" s="2267" t="e">
        <f>ROUNDDOWN(J1628/J1617,2)</f>
        <v>#VALUE!</v>
      </c>
      <c r="K1629" s="2267"/>
    </row>
    <row r="1630" spans="1:11" ht="16.5">
      <c r="A1630" s="2259"/>
      <c r="B1630" s="2259"/>
      <c r="C1630" s="2259"/>
      <c r="D1630" s="2259"/>
      <c r="E1630" s="2259"/>
      <c r="F1630" s="2259"/>
      <c r="G1630" s="2259"/>
      <c r="H1630" s="2259"/>
      <c r="I1630" s="2259"/>
      <c r="J1630" s="2259"/>
      <c r="K1630" s="2264"/>
    </row>
    <row r="1631" spans="1:11" ht="16.5">
      <c r="A1631" s="2259"/>
      <c r="B1631" s="2259"/>
      <c r="C1631" s="2264">
        <v>9</v>
      </c>
      <c r="D1631" s="2259" t="s">
        <v>4602</v>
      </c>
      <c r="E1631" s="2259"/>
      <c r="F1631" s="2259"/>
      <c r="G1631" s="2259"/>
      <c r="H1631" s="2259"/>
      <c r="I1631" s="2259"/>
      <c r="J1631" s="2268" t="e">
        <f>J1620/J1628</f>
        <v>#VALUE!</v>
      </c>
      <c r="K1631" s="2268"/>
    </row>
    <row r="1632" spans="1:11" ht="16.5">
      <c r="A1632" s="2269"/>
      <c r="B1632" s="2257"/>
      <c r="C1632" s="2270"/>
      <c r="D1632" s="2270"/>
      <c r="E1632" s="2270"/>
      <c r="F1632" s="2270"/>
      <c r="G1632" s="2270"/>
      <c r="H1632" s="2270"/>
      <c r="I1632" s="2270"/>
      <c r="J1632" s="2257"/>
      <c r="K1632" s="2271"/>
    </row>
    <row r="1633" spans="1:11" ht="18.75">
      <c r="A1633" s="2272" t="s">
        <v>4603</v>
      </c>
      <c r="B1633" s="2257"/>
      <c r="C1633" s="2257"/>
      <c r="D1633" s="2257"/>
      <c r="E1633" s="2257"/>
      <c r="F1633" s="2257"/>
      <c r="G1633" s="2257"/>
      <c r="H1633" s="2257"/>
      <c r="I1633" s="2257"/>
      <c r="J1633" s="2257"/>
      <c r="K1633" s="2271"/>
    </row>
    <row r="1634" spans="1:11" ht="16.5">
      <c r="A1634" s="2273" t="s">
        <v>7653</v>
      </c>
      <c r="B1634" s="2257"/>
      <c r="C1634" s="2270"/>
      <c r="D1634" s="2270"/>
      <c r="E1634" s="2270"/>
      <c r="F1634" s="2270"/>
      <c r="G1634" s="2270"/>
      <c r="H1634" s="2270"/>
      <c r="I1634" s="2270"/>
      <c r="J1634" s="2257"/>
      <c r="K1634" s="2271"/>
    </row>
    <row r="1635" spans="1:11" ht="16.5">
      <c r="A1635" s="2273" t="s">
        <v>7654</v>
      </c>
      <c r="B1635" s="2257"/>
      <c r="C1635" s="2270"/>
      <c r="D1635" s="2270"/>
      <c r="E1635" s="2270"/>
      <c r="F1635" s="2270"/>
      <c r="G1635" s="2270"/>
      <c r="H1635" s="2270"/>
      <c r="I1635" s="2270"/>
      <c r="J1635" s="2270"/>
      <c r="K1635" s="2271"/>
    </row>
    <row r="1636" spans="1:11" ht="16.5">
      <c r="A1636" s="2273" t="s">
        <v>7655</v>
      </c>
      <c r="B1636" s="2257"/>
      <c r="C1636" s="2270"/>
      <c r="D1636" s="2270"/>
      <c r="E1636" s="2270"/>
      <c r="F1636" s="2270"/>
      <c r="G1636" s="2270"/>
      <c r="H1636" s="2270"/>
      <c r="I1636" s="2270"/>
      <c r="J1636" s="2270"/>
      <c r="K1636" s="2271"/>
    </row>
    <row r="1637" spans="1:11" ht="16.5">
      <c r="A1637" s="2273" t="s">
        <v>7656</v>
      </c>
      <c r="B1637" s="2257"/>
      <c r="C1637" s="2270"/>
      <c r="D1637" s="2270"/>
      <c r="E1637" s="2270"/>
      <c r="F1637" s="2270"/>
      <c r="G1637" s="2270"/>
      <c r="H1637" s="2270"/>
      <c r="I1637" s="2270"/>
      <c r="J1637" s="2270"/>
      <c r="K1637" s="2271"/>
    </row>
    <row r="1638" spans="1:11" ht="16.5">
      <c r="A1638" s="2270"/>
      <c r="B1638" s="2257"/>
      <c r="C1638" s="2270"/>
      <c r="D1638" s="2270"/>
      <c r="E1638" s="2270"/>
      <c r="F1638" s="2270"/>
      <c r="G1638" s="2270"/>
      <c r="H1638" s="2270"/>
      <c r="I1638" s="2270"/>
      <c r="J1638" s="2270"/>
      <c r="K1638" s="2271"/>
    </row>
    <row r="1639" spans="1:11" ht="16.5">
      <c r="A1639" s="2261" t="s">
        <v>4608</v>
      </c>
      <c r="B1639" s="2261"/>
      <c r="C1639" s="2261"/>
      <c r="D1639" s="2261"/>
      <c r="E1639" s="2261"/>
      <c r="F1639" s="2261"/>
      <c r="G1639" s="2261"/>
      <c r="H1639" s="2261"/>
      <c r="I1639" s="2261"/>
      <c r="J1639" s="2261"/>
      <c r="K1639" s="2261"/>
    </row>
    <row r="1640" spans="1:11" ht="16.5">
      <c r="A1640" s="2257"/>
      <c r="B1640" s="2261" t="s">
        <v>4587</v>
      </c>
      <c r="C1640" s="2261"/>
      <c r="D1640" s="2261"/>
      <c r="E1640" s="2261"/>
      <c r="F1640" s="2261"/>
      <c r="G1640" s="2261" t="s">
        <v>4609</v>
      </c>
      <c r="H1640" s="2261"/>
      <c r="I1640" s="2261"/>
      <c r="J1640" s="2261"/>
      <c r="K1640" s="2261"/>
    </row>
    <row r="1641" spans="1:11" ht="16.5">
      <c r="A1641" s="2257"/>
      <c r="B1641" s="2274" t="s">
        <v>7657</v>
      </c>
      <c r="C1641" s="2269" t="s">
        <v>7658</v>
      </c>
      <c r="D1641" s="2269" t="s">
        <v>7659</v>
      </c>
      <c r="E1641" s="2275" t="s">
        <v>4613</v>
      </c>
      <c r="F1641" s="2275"/>
      <c r="G1641" s="2274" t="s">
        <v>4614</v>
      </c>
      <c r="H1641" s="2274" t="s">
        <v>4615</v>
      </c>
      <c r="I1641" s="2257"/>
      <c r="J1641" s="2274" t="s">
        <v>4616</v>
      </c>
      <c r="K1641" s="2274" t="s">
        <v>4617</v>
      </c>
    </row>
    <row r="1642" spans="1:11" ht="16.5">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6.5">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6.5">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6.5">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6.5">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6.5">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6.5">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6.5">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6.5">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6.5">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6.5">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6.5">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6.5">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6.5">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6.5">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6.5">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6.5">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6.5">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6.5">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6.5">
      <c r="A1661" s="2257"/>
      <c r="B1661" s="2285"/>
      <c r="C1661" s="2257"/>
      <c r="D1661" s="2259"/>
      <c r="E1661" s="2259"/>
      <c r="F1661" s="2259"/>
      <c r="G1661" s="2286" t="s">
        <v>4619</v>
      </c>
      <c r="H1661" s="2287">
        <f>SUM(H1642:H1660)</f>
        <v>0</v>
      </c>
      <c r="I1661" s="2259"/>
      <c r="J1661" s="2285" t="s">
        <v>4620</v>
      </c>
      <c r="K1661" s="2265">
        <f>SUM(K1642:K1660)</f>
        <v>0</v>
      </c>
    </row>
    <row r="1662" spans="1:11" ht="16.5">
      <c r="A1662" s="2257"/>
      <c r="B1662" s="2285"/>
      <c r="C1662" s="2259" t="s">
        <v>4621</v>
      </c>
      <c r="D1662" s="2259"/>
      <c r="E1662" s="2259"/>
      <c r="F1662" s="2259"/>
      <c r="G1662" s="2259"/>
      <c r="H1662" s="2259"/>
      <c r="I1662" s="2259"/>
      <c r="J1662" s="2259"/>
      <c r="K1662" s="2265" t="str">
        <f>IF(J1626="no",0,IF(J1626="yes",J1625,"Error"))</f>
        <v>Error</v>
      </c>
    </row>
    <row r="1663" spans="1:11" ht="16.5">
      <c r="A1663" s="2257"/>
      <c r="B1663" s="2285"/>
      <c r="C1663" s="2263" t="s">
        <v>4622</v>
      </c>
      <c r="D1663" s="2263"/>
      <c r="E1663" s="2263"/>
      <c r="F1663" s="2263"/>
      <c r="G1663" s="2263"/>
      <c r="H1663" s="2263"/>
      <c r="I1663" s="2263"/>
      <c r="J1663" s="2263"/>
      <c r="K1663" s="2288" t="e">
        <f>K1661+K1662</f>
        <v>#VALUE!</v>
      </c>
    </row>
    <row r="1664" spans="1:11" ht="16.5">
      <c r="A1664" s="2257"/>
      <c r="B1664" s="2257"/>
      <c r="C1664" s="2257"/>
      <c r="D1664" s="2257"/>
      <c r="E1664" s="2257"/>
      <c r="F1664" s="2257"/>
      <c r="G1664" s="2257"/>
      <c r="H1664" s="2257"/>
      <c r="I1664" s="2257"/>
      <c r="J1664" s="2257"/>
      <c r="K1664" s="2257"/>
    </row>
    <row r="1665" spans="1:11" ht="16.5">
      <c r="A1665" s="2289" t="s">
        <v>4623</v>
      </c>
      <c r="B1665" s="2289"/>
      <c r="C1665" s="2289"/>
      <c r="D1665" s="2289"/>
      <c r="E1665" s="2289"/>
      <c r="F1665" s="2289"/>
      <c r="G1665" s="2289"/>
      <c r="H1665" s="2289"/>
      <c r="I1665" s="2289"/>
      <c r="J1665" s="2289"/>
      <c r="K1665" s="2289"/>
    </row>
    <row r="1666" spans="1:11" ht="82.5" customHeight="1">
      <c r="A1666" s="2257"/>
      <c r="B1666" s="2257"/>
      <c r="C1666" s="2289" t="s">
        <v>4624</v>
      </c>
      <c r="D1666" s="2289" t="s">
        <v>4625</v>
      </c>
      <c r="E1666" s="2289" t="s">
        <v>4626</v>
      </c>
      <c r="F1666" s="2289"/>
      <c r="G1666" s="2275" t="s">
        <v>4627</v>
      </c>
      <c r="H1666" s="2275"/>
      <c r="I1666" s="2289" t="s">
        <v>4628</v>
      </c>
      <c r="J1666" s="2289"/>
      <c r="K1666" s="2257"/>
    </row>
    <row r="1667" spans="1:11" ht="16.5">
      <c r="A1667" s="2257"/>
      <c r="B1667" s="2257"/>
      <c r="C1667" s="2290">
        <f>SUMIF(C1642:C1660, "0", H1642:H1660)</f>
        <v>0</v>
      </c>
      <c r="D1667" s="2257">
        <f t="shared" ref="D1667:D1672" si="466">ROUNDUP(C1667*1.1,0)</f>
        <v>0</v>
      </c>
      <c r="E1667" s="2259" t="s">
        <v>4630</v>
      </c>
      <c r="F1667" s="2259"/>
      <c r="G1667" s="2291">
        <f>'Part X - HOME NHTF Unit Calcs'!G58</f>
        <v>181488</v>
      </c>
      <c r="H1667" s="2291"/>
      <c r="I1667" s="2292">
        <f t="shared" ref="I1667:I1672" si="467">D1667*G1667</f>
        <v>0</v>
      </c>
      <c r="J1667" s="2292"/>
      <c r="K1667" s="2257"/>
    </row>
    <row r="1668" spans="1:11" ht="16.5">
      <c r="A1668" s="2257"/>
      <c r="B1668" s="2257"/>
      <c r="C1668" s="2290">
        <f>SUMIF(C1642:C1660, "1", H1642:H1660)</f>
        <v>0</v>
      </c>
      <c r="D1668" s="2257">
        <f t="shared" si="466"/>
        <v>0</v>
      </c>
      <c r="E1668" s="2259" t="s">
        <v>4631</v>
      </c>
      <c r="F1668" s="2259"/>
      <c r="G1668" s="2291">
        <f>'Part X - HOME NHTF Unit Calcs'!G59</f>
        <v>208048.8</v>
      </c>
      <c r="H1668" s="2291"/>
      <c r="I1668" s="2292">
        <f t="shared" si="467"/>
        <v>0</v>
      </c>
      <c r="J1668" s="2292"/>
      <c r="K1668" s="2257"/>
    </row>
    <row r="1669" spans="1:11" ht="16.5">
      <c r="A1669" s="2269"/>
      <c r="B1669" s="2257"/>
      <c r="C1669" s="2293">
        <f>SUMIF(C1642:C1660, "2", H1642:H1660)</f>
        <v>0</v>
      </c>
      <c r="D1669" s="2269">
        <f t="shared" si="466"/>
        <v>0</v>
      </c>
      <c r="E1669" s="2259" t="s">
        <v>4632</v>
      </c>
      <c r="F1669" s="2259"/>
      <c r="G1669" s="2291">
        <f>'Part X - HOME NHTF Unit Calcs'!G60</f>
        <v>252993.59999999998</v>
      </c>
      <c r="H1669" s="2291"/>
      <c r="I1669" s="2292">
        <f t="shared" si="467"/>
        <v>0</v>
      </c>
      <c r="J1669" s="2292"/>
      <c r="K1669" s="2257"/>
    </row>
    <row r="1670" spans="1:11" ht="16.5">
      <c r="A1670" s="2269"/>
      <c r="B1670" s="2257"/>
      <c r="C1670" s="2293">
        <f>SUMIF(C1642:C1660, "3", H1642:H1660)</f>
        <v>0</v>
      </c>
      <c r="D1670" s="2269">
        <f t="shared" si="466"/>
        <v>0</v>
      </c>
      <c r="E1670" s="2259" t="s">
        <v>4633</v>
      </c>
      <c r="F1670" s="2259"/>
      <c r="G1670" s="2291">
        <f>'Part X - HOME NHTF Unit Calcs'!G61</f>
        <v>327292.79999999999</v>
      </c>
      <c r="H1670" s="2291"/>
      <c r="I1670" s="2292">
        <f t="shared" si="467"/>
        <v>0</v>
      </c>
      <c r="J1670" s="2292"/>
      <c r="K1670" s="2257"/>
    </row>
    <row r="1671" spans="1:11" ht="16.5">
      <c r="A1671" s="2269"/>
      <c r="B1671" s="2257"/>
      <c r="C1671" s="2293">
        <f>SUMIF(C1642:C1660, "4", H1642:H1660)</f>
        <v>0</v>
      </c>
      <c r="D1671" s="2269">
        <f t="shared" si="466"/>
        <v>0</v>
      </c>
      <c r="E1671" s="2259" t="s">
        <v>4634</v>
      </c>
      <c r="F1671" s="2259"/>
      <c r="G1671" s="2291">
        <f>'Part X - HOME NHTF Unit Calcs'!G62</f>
        <v>359263.2</v>
      </c>
      <c r="H1671" s="2291"/>
      <c r="I1671" s="2292">
        <f t="shared" si="467"/>
        <v>0</v>
      </c>
      <c r="J1671" s="2292"/>
      <c r="K1671" s="2257"/>
    </row>
    <row r="1672" spans="1:11" ht="16.5">
      <c r="A1672" s="2269"/>
      <c r="B1672" s="2257"/>
      <c r="C1672" s="2293">
        <f>SUMIF(C1642:C1660, "5", H1642:H1660)</f>
        <v>0</v>
      </c>
      <c r="D1672" s="2269">
        <f t="shared" si="466"/>
        <v>0</v>
      </c>
      <c r="E1672" s="2259" t="s">
        <v>4635</v>
      </c>
      <c r="F1672" s="2259"/>
      <c r="G1672" s="2291">
        <f>'Part X - HOME NHTF Unit Calcs'!G63</f>
        <v>359263.2</v>
      </c>
      <c r="H1672" s="2291"/>
      <c r="I1672" s="2292">
        <f t="shared" si="467"/>
        <v>0</v>
      </c>
      <c r="J1672" s="2292"/>
      <c r="K1672" s="2257"/>
    </row>
    <row r="1673" spans="1:11" ht="16.5">
      <c r="A1673" s="2274" t="s">
        <v>4636</v>
      </c>
      <c r="B1673" s="2287">
        <f>SUM(C1667:C1672)</f>
        <v>0</v>
      </c>
      <c r="C1673" s="2274"/>
      <c r="D1673" s="2274">
        <f>SUM(D1667:D1672)</f>
        <v>0</v>
      </c>
      <c r="E1673" s="2289"/>
      <c r="F1673" s="2289"/>
      <c r="G1673" s="2289"/>
      <c r="H1673" s="2289"/>
      <c r="I1673" s="2289"/>
      <c r="J1673" s="2289" t="s">
        <v>4637</v>
      </c>
      <c r="K1673" s="2275">
        <f>SUM(I1667:I1671)</f>
        <v>0</v>
      </c>
    </row>
    <row r="1674" spans="1:11" ht="16.5">
      <c r="A1674" s="2257"/>
      <c r="B1674" s="2257"/>
      <c r="C1674" s="2257"/>
      <c r="D1674" s="2257"/>
      <c r="E1674" s="2257"/>
      <c r="F1674" s="2257"/>
      <c r="G1674" s="2257"/>
      <c r="H1674" s="2257"/>
      <c r="I1674" s="2257"/>
      <c r="J1674" s="2257"/>
      <c r="K1674" s="2257"/>
    </row>
    <row r="1675" spans="1:11" ht="16.5">
      <c r="A1675" s="2289" t="s">
        <v>4638</v>
      </c>
      <c r="B1675" s="2289"/>
      <c r="C1675" s="2289"/>
      <c r="D1675" s="2289"/>
      <c r="E1675" s="2289"/>
      <c r="F1675" s="2289"/>
      <c r="G1675" s="2289"/>
      <c r="H1675" s="2289"/>
      <c r="I1675" s="2289"/>
      <c r="J1675" s="2289"/>
      <c r="K1675" s="2289"/>
    </row>
    <row r="1676" spans="1:11" ht="16.5">
      <c r="A1676" s="2269"/>
      <c r="B1676" s="2257"/>
      <c r="C1676" s="2257"/>
      <c r="D1676" s="2257"/>
      <c r="E1676" s="2257" t="s">
        <v>4639</v>
      </c>
      <c r="F1676" s="2257"/>
      <c r="G1676" s="2257"/>
      <c r="H1676" s="2257"/>
      <c r="I1676" s="2257"/>
      <c r="J1676" s="2257"/>
      <c r="K1676" s="2294">
        <f>J1620</f>
        <v>0</v>
      </c>
    </row>
    <row r="1677" spans="1:11" ht="16.5">
      <c r="A1677" s="2257"/>
      <c r="B1677" s="2257"/>
      <c r="C1677" s="2257"/>
      <c r="D1677" s="2257"/>
      <c r="E1677" s="2257" t="s">
        <v>4640</v>
      </c>
      <c r="F1677" s="2257"/>
      <c r="G1677" s="2257"/>
      <c r="H1677" s="2257"/>
      <c r="I1677" s="2257"/>
      <c r="J1677" s="2257"/>
      <c r="K1677" s="2294" t="e">
        <f>K1663</f>
        <v>#VALUE!</v>
      </c>
    </row>
    <row r="1678" spans="1:11" ht="16.5">
      <c r="A1678" s="2257"/>
      <c r="B1678" s="2257"/>
      <c r="C1678" s="2257"/>
      <c r="D1678" s="2257"/>
      <c r="E1678" s="2257" t="s">
        <v>4641</v>
      </c>
      <c r="F1678" s="2257"/>
      <c r="G1678" s="2257"/>
      <c r="H1678" s="2257"/>
      <c r="I1678" s="2257"/>
      <c r="J1678" s="2257"/>
      <c r="K1678" s="2294">
        <f>K1673</f>
        <v>0</v>
      </c>
    </row>
    <row r="1679" spans="1:11" ht="16.5">
      <c r="A1679" s="2269"/>
      <c r="B1679" s="2257"/>
      <c r="C1679" s="2263" t="s">
        <v>4642</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602457-3537-4608-ABA5-517DA67EA664}">
  <ds:schemaRefs>
    <ds:schemaRef ds:uri="http://schemas.microsoft.com/office/2006/metadata/properties"/>
    <ds:schemaRef ds:uri="http://schemas.microsoft.com/office/infopath/2007/PartnerControls"/>
    <ds:schemaRef ds:uri="431100d4-4470-42c1-96bc-46686c1829ae"/>
    <ds:schemaRef ds:uri="07da3740-463b-4cf7-bfb8-6875f2c449a4"/>
    <ds:schemaRef ds:uri="d79d4519-aa4d-42dc-a22a-1312e5d9c2e0"/>
    <ds:schemaRef ds:uri="f34907a4-61e3-490d-9ff4-abeae24ff5f7"/>
  </ds:schemaRefs>
</ds:datastoreItem>
</file>

<file path=customXml/itemProps2.xml><?xml version="1.0" encoding="utf-8"?>
<ds:datastoreItem xmlns:ds="http://schemas.openxmlformats.org/officeDocument/2006/customXml" ds:itemID="{D2707B95-9F2D-4DB1-96D7-DE55E917A6BB}"/>
</file>

<file path=customXml/itemProps3.xml><?xml version="1.0" encoding="utf-8"?>
<ds:datastoreItem xmlns:ds="http://schemas.openxmlformats.org/officeDocument/2006/customXml" ds:itemID="{C519485E-FC7D-4E20-B5AC-E2D7B0134B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Jim Markel</cp:lastModifiedBy>
  <cp:revision/>
  <dcterms:created xsi:type="dcterms:W3CDTF">2005-09-15T20:51:37Z</dcterms:created>
  <dcterms:modified xsi:type="dcterms:W3CDTF">2026-05-15T13:13:32Z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